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生物統計コース\あり方\2020\講義資料\●健康増進計画\"/>
    </mc:Choice>
  </mc:AlternateContent>
  <xr:revisionPtr revIDLastSave="0" documentId="13_ncr:1_{2FD6750A-D523-4A6B-937A-A737C3E7E2BD}" xr6:coauthVersionLast="45" xr6:coauthVersionMax="45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練習問題４(例)" sheetId="25" r:id="rId1"/>
    <sheet name="練習問題４A" sheetId="22" r:id="rId2"/>
    <sheet name="練習問題４Ｂ" sheetId="24" r:id="rId3"/>
    <sheet name="標準誤差" sheetId="19" r:id="rId4"/>
    <sheet name="Z検定" sheetId="9" r:id="rId5"/>
    <sheet name="t検定" sheetId="30" r:id="rId6"/>
    <sheet name="χ２検定" sheetId="32" r:id="rId7"/>
    <sheet name="２×２用" sheetId="33" r:id="rId8"/>
    <sheet name="McNemar検定" sheetId="34" r:id="rId9"/>
    <sheet name="拡張Mantel検定" sheetId="31" r:id="rId10"/>
    <sheet name="年齢調整平均" sheetId="5" r:id="rId11"/>
    <sheet name="年齢調整割合" sheetId="4" r:id="rId12"/>
    <sheet name="将来予測" sheetId="6" r:id="rId13"/>
    <sheet name="標準化死亡比" sheetId="27" r:id="rId14"/>
    <sheet name="標準偏差併合" sheetId="28" r:id="rId15"/>
    <sheet name="H22国勢調査人口" sheetId="29" r:id="rId16"/>
    <sheet name="H17国勢調査人口" sheetId="7" r:id="rId17"/>
    <sheet name="H12推計人口" sheetId="8" r:id="rId18"/>
  </sheets>
  <definedNames>
    <definedName name="_xlnm.Print_Area" localSheetId="7">'２×２用'!$A$1:$D$10</definedName>
    <definedName name="_xlnm.Print_Area" localSheetId="8">McNemar検定!$A$1:$D$10</definedName>
    <definedName name="_xlnm.Print_Area" localSheetId="5">t検定!$A$1:$Q$7</definedName>
    <definedName name="_xlnm.Print_Area" localSheetId="4">Z検定!$A$1:$L$8</definedName>
    <definedName name="_xlnm.Print_Area" localSheetId="6">χ２検定!$A$1:$G$13</definedName>
    <definedName name="_xlnm.Print_Area" localSheetId="12">将来予測!$A$2:$N$19</definedName>
    <definedName name="_xlnm.Print_Area" localSheetId="11">年齢調整割合!#REF!</definedName>
    <definedName name="_xlnm.Print_Area" localSheetId="10">年齢調整平均!#REF!</definedName>
    <definedName name="_xlnm.Print_Area" localSheetId="0">'練習問題４(例)'!$A$2:$T$21</definedName>
    <definedName name="_xlnm.Print_Area" localSheetId="1">練習問題４A!$A$2:$T$21</definedName>
    <definedName name="_xlnm.Print_Area" localSheetId="2">練習問題４Ｂ!$A$2:$T$21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4" l="1"/>
  <c r="B10" i="34" s="1"/>
  <c r="C6" i="34"/>
  <c r="B6" i="34"/>
  <c r="D6" i="34" s="1"/>
  <c r="D5" i="34"/>
  <c r="D4" i="34"/>
  <c r="C6" i="33"/>
  <c r="B6" i="33"/>
  <c r="D6" i="33" s="1"/>
  <c r="B8" i="33" s="1"/>
  <c r="B10" i="33" s="1"/>
  <c r="D5" i="33"/>
  <c r="D4" i="33"/>
  <c r="F9" i="32"/>
  <c r="E9" i="32"/>
  <c r="D9" i="32"/>
  <c r="C9" i="32"/>
  <c r="B9" i="32"/>
  <c r="G8" i="32"/>
  <c r="G7" i="32"/>
  <c r="G6" i="32"/>
  <c r="G5" i="32"/>
  <c r="G4" i="32"/>
  <c r="D17" i="31"/>
  <c r="C17" i="31"/>
  <c r="B17" i="31"/>
  <c r="J16" i="31"/>
  <c r="I16" i="31"/>
  <c r="D16" i="31"/>
  <c r="E16" i="31" s="1"/>
  <c r="G16" i="31" s="1"/>
  <c r="K16" i="31" s="1"/>
  <c r="J15" i="31"/>
  <c r="I15" i="31"/>
  <c r="G15" i="31"/>
  <c r="K15" i="31" s="1"/>
  <c r="E15" i="31"/>
  <c r="D15" i="31"/>
  <c r="J14" i="31"/>
  <c r="I14" i="31"/>
  <c r="D14" i="31"/>
  <c r="E14" i="31" s="1"/>
  <c r="G14" i="31" s="1"/>
  <c r="K14" i="31" s="1"/>
  <c r="J13" i="31"/>
  <c r="I13" i="31"/>
  <c r="G13" i="31"/>
  <c r="K13" i="31" s="1"/>
  <c r="E13" i="31"/>
  <c r="D13" i="31"/>
  <c r="J12" i="31"/>
  <c r="I12" i="31"/>
  <c r="D12" i="31"/>
  <c r="E12" i="31" s="1"/>
  <c r="G12" i="31" s="1"/>
  <c r="K12" i="31" s="1"/>
  <c r="J11" i="31"/>
  <c r="I11" i="31"/>
  <c r="G11" i="31"/>
  <c r="K11" i="31" s="1"/>
  <c r="E11" i="31"/>
  <c r="D11" i="31"/>
  <c r="J10" i="31"/>
  <c r="I10" i="31"/>
  <c r="D10" i="31"/>
  <c r="E10" i="31" s="1"/>
  <c r="G10" i="31" s="1"/>
  <c r="K10" i="31" s="1"/>
  <c r="J9" i="31"/>
  <c r="I9" i="31"/>
  <c r="G9" i="31"/>
  <c r="K9" i="31" s="1"/>
  <c r="E9" i="31"/>
  <c r="D9" i="31"/>
  <c r="J8" i="31"/>
  <c r="I8" i="31"/>
  <c r="D8" i="31"/>
  <c r="E8" i="31" s="1"/>
  <c r="G8" i="31" s="1"/>
  <c r="K8" i="31" s="1"/>
  <c r="J7" i="31"/>
  <c r="J17" i="31" s="1"/>
  <c r="I7" i="31"/>
  <c r="I17" i="31" s="1"/>
  <c r="D7" i="31"/>
  <c r="E7" i="31" s="1"/>
  <c r="G7" i="31" s="1"/>
  <c r="E6" i="31"/>
  <c r="F22" i="32" l="1"/>
  <c r="F31" i="32" s="1"/>
  <c r="B22" i="32"/>
  <c r="C22" i="32"/>
  <c r="C31" i="32" s="1"/>
  <c r="E20" i="32"/>
  <c r="E29" i="32" s="1"/>
  <c r="E18" i="32"/>
  <c r="E22" i="32"/>
  <c r="E31" i="32" s="1"/>
  <c r="B19" i="32"/>
  <c r="B21" i="32"/>
  <c r="G9" i="32"/>
  <c r="E19" i="32" s="1"/>
  <c r="E28" i="32" s="1"/>
  <c r="D21" i="32"/>
  <c r="D30" i="32" s="1"/>
  <c r="F19" i="32"/>
  <c r="F28" i="32" s="1"/>
  <c r="E21" i="32"/>
  <c r="E30" i="32" s="1"/>
  <c r="B18" i="32"/>
  <c r="B20" i="32"/>
  <c r="C18" i="32"/>
  <c r="C20" i="32"/>
  <c r="C29" i="32" s="1"/>
  <c r="G17" i="31"/>
  <c r="K7" i="31"/>
  <c r="K17" i="31" s="1"/>
  <c r="L7" i="31" s="1"/>
  <c r="C27" i="32" l="1"/>
  <c r="B27" i="32"/>
  <c r="B23" i="32"/>
  <c r="B31" i="32"/>
  <c r="B30" i="32"/>
  <c r="B29" i="32"/>
  <c r="G20" i="32"/>
  <c r="F21" i="32"/>
  <c r="F30" i="32" s="1"/>
  <c r="D19" i="32"/>
  <c r="D28" i="32" s="1"/>
  <c r="F18" i="32"/>
  <c r="B28" i="32"/>
  <c r="E23" i="32"/>
  <c r="E27" i="32"/>
  <c r="D20" i="32"/>
  <c r="D29" i="32" s="1"/>
  <c r="D18" i="32"/>
  <c r="F20" i="32"/>
  <c r="F29" i="32" s="1"/>
  <c r="C21" i="32"/>
  <c r="C30" i="32" s="1"/>
  <c r="C19" i="32"/>
  <c r="C28" i="32" s="1"/>
  <c r="D22" i="32"/>
  <c r="D31" i="32" s="1"/>
  <c r="N7" i="31"/>
  <c r="M7" i="31"/>
  <c r="O7" i="31" s="1"/>
  <c r="G22" i="32" l="1"/>
  <c r="D27" i="32"/>
  <c r="D23" i="32"/>
  <c r="G21" i="32"/>
  <c r="G18" i="32"/>
  <c r="G19" i="32"/>
  <c r="F23" i="32"/>
  <c r="F27" i="32"/>
  <c r="B11" i="32" s="1"/>
  <c r="C23" i="32"/>
  <c r="G23" i="32" s="1"/>
  <c r="P7" i="31"/>
  <c r="F6" i="31"/>
  <c r="B12" i="32" l="1"/>
  <c r="B13" i="32" s="1"/>
  <c r="A18" i="31"/>
  <c r="F7" i="31"/>
  <c r="I4" i="19" l="1"/>
  <c r="H4" i="19"/>
  <c r="J2" i="30"/>
  <c r="E55" i="22"/>
  <c r="H55" i="22"/>
  <c r="C5" i="28"/>
  <c r="B5" i="28"/>
  <c r="G4" i="28"/>
  <c r="E4" i="28"/>
  <c r="F4" i="28"/>
  <c r="G3" i="28"/>
  <c r="G5" i="28"/>
  <c r="E3" i="28"/>
  <c r="E5" i="28"/>
  <c r="H5" i="28"/>
  <c r="D13" i="27"/>
  <c r="F13" i="27"/>
  <c r="D12" i="27"/>
  <c r="F12" i="27"/>
  <c r="D10" i="27"/>
  <c r="F10" i="27"/>
  <c r="D9" i="27"/>
  <c r="F9" i="27"/>
  <c r="D8" i="27"/>
  <c r="F8" i="27"/>
  <c r="D7" i="27"/>
  <c r="F7" i="27"/>
  <c r="D6" i="27"/>
  <c r="F6" i="27"/>
  <c r="D5" i="27"/>
  <c r="F5" i="27"/>
  <c r="E14" i="27"/>
  <c r="C14" i="27"/>
  <c r="B14" i="27"/>
  <c r="D14" i="27"/>
  <c r="D11" i="27"/>
  <c r="F11" i="27"/>
  <c r="E26" i="27"/>
  <c r="C26" i="27"/>
  <c r="B26" i="27"/>
  <c r="D26" i="27"/>
  <c r="D25" i="27"/>
  <c r="F25" i="27"/>
  <c r="D24" i="27"/>
  <c r="F24" i="27"/>
  <c r="D23" i="27"/>
  <c r="F23" i="27"/>
  <c r="D22" i="27"/>
  <c r="F22" i="27"/>
  <c r="F26" i="27"/>
  <c r="B12" i="25"/>
  <c r="E34" i="25"/>
  <c r="C12" i="25"/>
  <c r="F12" i="25"/>
  <c r="E43" i="25"/>
  <c r="G12" i="25"/>
  <c r="H12" i="25"/>
  <c r="J12" i="25"/>
  <c r="E46" i="25"/>
  <c r="K12" i="25"/>
  <c r="B13" i="25"/>
  <c r="E59" i="25"/>
  <c r="C13" i="25"/>
  <c r="D13" i="25"/>
  <c r="F13" i="25"/>
  <c r="F14" i="25"/>
  <c r="E68" i="25"/>
  <c r="G13" i="25"/>
  <c r="J13" i="25"/>
  <c r="L13" i="25"/>
  <c r="E71" i="25"/>
  <c r="K13" i="25"/>
  <c r="G28" i="25"/>
  <c r="G29" i="25"/>
  <c r="G34" i="25"/>
  <c r="G30" i="25"/>
  <c r="G31" i="25"/>
  <c r="G32" i="25"/>
  <c r="G33" i="25"/>
  <c r="F34" i="25"/>
  <c r="E28" i="25"/>
  <c r="H28" i="25"/>
  <c r="E29" i="25"/>
  <c r="H29" i="25"/>
  <c r="E30" i="25"/>
  <c r="H30" i="25"/>
  <c r="E31" i="25"/>
  <c r="H31" i="25"/>
  <c r="E32" i="25"/>
  <c r="H32" i="25"/>
  <c r="E33" i="25"/>
  <c r="H33" i="25"/>
  <c r="G37" i="25"/>
  <c r="G43" i="25"/>
  <c r="C44" i="25"/>
  <c r="F15" i="25"/>
  <c r="G38" i="25"/>
  <c r="G39" i="25"/>
  <c r="G40" i="25"/>
  <c r="G41" i="25"/>
  <c r="G42" i="25"/>
  <c r="F43" i="25"/>
  <c r="E37" i="25"/>
  <c r="H37" i="25"/>
  <c r="E38" i="25"/>
  <c r="H38" i="25"/>
  <c r="E39" i="25"/>
  <c r="H39" i="25"/>
  <c r="E40" i="25"/>
  <c r="H40" i="25"/>
  <c r="E41" i="25"/>
  <c r="H41" i="25"/>
  <c r="E42" i="25"/>
  <c r="H42" i="25"/>
  <c r="G53" i="25"/>
  <c r="G59" i="25"/>
  <c r="G54" i="25"/>
  <c r="G55" i="25"/>
  <c r="G56" i="25"/>
  <c r="G57" i="25"/>
  <c r="G58" i="25"/>
  <c r="F59" i="25"/>
  <c r="E53" i="25"/>
  <c r="H53" i="25"/>
  <c r="E54" i="25"/>
  <c r="H54" i="25"/>
  <c r="E55" i="25"/>
  <c r="H55" i="25"/>
  <c r="E56" i="25"/>
  <c r="H56" i="25"/>
  <c r="E57" i="25"/>
  <c r="H57" i="25"/>
  <c r="E58" i="25"/>
  <c r="H58" i="25"/>
  <c r="G62" i="25"/>
  <c r="G68" i="25"/>
  <c r="C69" i="25"/>
  <c r="F16" i="25"/>
  <c r="G63" i="25"/>
  <c r="G64" i="25"/>
  <c r="G65" i="25"/>
  <c r="G66" i="25"/>
  <c r="G67" i="25"/>
  <c r="F68" i="25"/>
  <c r="E62" i="25"/>
  <c r="H62" i="25"/>
  <c r="E63" i="25"/>
  <c r="H63" i="25"/>
  <c r="E64" i="25"/>
  <c r="H64" i="25"/>
  <c r="E65" i="25"/>
  <c r="H65" i="25"/>
  <c r="E66" i="25"/>
  <c r="H66" i="25"/>
  <c r="E67" i="25"/>
  <c r="H67" i="25"/>
  <c r="B12" i="24"/>
  <c r="E32" i="24"/>
  <c r="C12" i="24"/>
  <c r="F12" i="24"/>
  <c r="E39" i="24"/>
  <c r="G12" i="24"/>
  <c r="J12" i="24"/>
  <c r="E42" i="24"/>
  <c r="K12" i="24"/>
  <c r="B13" i="24"/>
  <c r="D13" i="24"/>
  <c r="E53" i="24"/>
  <c r="C13" i="24"/>
  <c r="F13" i="24"/>
  <c r="F14" i="24"/>
  <c r="E60" i="24"/>
  <c r="G13" i="24"/>
  <c r="H13" i="24"/>
  <c r="J13" i="24"/>
  <c r="L13" i="24"/>
  <c r="E63" i="24"/>
  <c r="K13" i="24"/>
  <c r="G28" i="24"/>
  <c r="G32" i="24"/>
  <c r="G29" i="24"/>
  <c r="G30" i="24"/>
  <c r="G31" i="24"/>
  <c r="E28" i="24"/>
  <c r="H28" i="24"/>
  <c r="H32" i="24"/>
  <c r="E29" i="24"/>
  <c r="H29" i="24"/>
  <c r="E30" i="24"/>
  <c r="H30" i="24"/>
  <c r="E31" i="24"/>
  <c r="H31" i="24"/>
  <c r="G35" i="24"/>
  <c r="G39" i="24"/>
  <c r="C40" i="24"/>
  <c r="F15" i="24"/>
  <c r="H15" i="24"/>
  <c r="G36" i="24"/>
  <c r="G37" i="24"/>
  <c r="G38" i="24"/>
  <c r="E35" i="24"/>
  <c r="H35" i="24"/>
  <c r="H39" i="24"/>
  <c r="E40" i="24"/>
  <c r="G15" i="24"/>
  <c r="E36" i="24"/>
  <c r="H36" i="24"/>
  <c r="E37" i="24"/>
  <c r="H37" i="24"/>
  <c r="E38" i="24"/>
  <c r="H38" i="24"/>
  <c r="G49" i="24"/>
  <c r="G53" i="24"/>
  <c r="G50" i="24"/>
  <c r="G51" i="24"/>
  <c r="G52" i="24"/>
  <c r="E49" i="24"/>
  <c r="H49" i="24"/>
  <c r="H53" i="24"/>
  <c r="E50" i="24"/>
  <c r="H50" i="24"/>
  <c r="E51" i="24"/>
  <c r="H51" i="24"/>
  <c r="E52" i="24"/>
  <c r="H52" i="24"/>
  <c r="G56" i="24"/>
  <c r="G60" i="24"/>
  <c r="C61" i="24"/>
  <c r="F16" i="24"/>
  <c r="G57" i="24"/>
  <c r="G58" i="24"/>
  <c r="G59" i="24"/>
  <c r="E56" i="24"/>
  <c r="H56" i="24"/>
  <c r="H60" i="24"/>
  <c r="E61" i="24"/>
  <c r="G16" i="24"/>
  <c r="E57" i="24"/>
  <c r="H57" i="24"/>
  <c r="E58" i="24"/>
  <c r="H58" i="24"/>
  <c r="E59" i="24"/>
  <c r="H59" i="24"/>
  <c r="B12" i="22"/>
  <c r="E34" i="22"/>
  <c r="C12" i="22"/>
  <c r="F12" i="22"/>
  <c r="E43" i="22"/>
  <c r="G12" i="22"/>
  <c r="J12" i="22"/>
  <c r="E46" i="22"/>
  <c r="K12" i="22"/>
  <c r="K14" i="22"/>
  <c r="B13" i="22"/>
  <c r="B14" i="22"/>
  <c r="E59" i="22"/>
  <c r="C13" i="22"/>
  <c r="F13" i="22"/>
  <c r="E68" i="22"/>
  <c r="G13" i="22"/>
  <c r="J13" i="22"/>
  <c r="E71" i="22"/>
  <c r="K13" i="22"/>
  <c r="G28" i="22"/>
  <c r="G34" i="22"/>
  <c r="G29" i="22"/>
  <c r="G30" i="22"/>
  <c r="G31" i="22"/>
  <c r="G32" i="22"/>
  <c r="G33" i="22"/>
  <c r="F34" i="22"/>
  <c r="E28" i="22"/>
  <c r="H28" i="22"/>
  <c r="H34" i="22"/>
  <c r="G37" i="22"/>
  <c r="G38" i="22"/>
  <c r="G43" i="22"/>
  <c r="C44" i="22"/>
  <c r="F15" i="22"/>
  <c r="G39" i="22"/>
  <c r="G40" i="22"/>
  <c r="G41" i="22"/>
  <c r="G42" i="22"/>
  <c r="F43" i="22"/>
  <c r="E37" i="22"/>
  <c r="H37" i="22"/>
  <c r="H43" i="22"/>
  <c r="E44" i="22"/>
  <c r="G15" i="22"/>
  <c r="G53" i="22"/>
  <c r="G54" i="22"/>
  <c r="G59" i="22"/>
  <c r="G55" i="22"/>
  <c r="G56" i="22"/>
  <c r="G57" i="22"/>
  <c r="G58" i="22"/>
  <c r="F59" i="22"/>
  <c r="E53" i="22"/>
  <c r="H53" i="22"/>
  <c r="H59" i="22"/>
  <c r="G62" i="22"/>
  <c r="G63" i="22"/>
  <c r="G64" i="22"/>
  <c r="G65" i="22"/>
  <c r="G68" i="22"/>
  <c r="C69" i="22"/>
  <c r="F16" i="22"/>
  <c r="G66" i="22"/>
  <c r="G67" i="22"/>
  <c r="F68" i="22"/>
  <c r="E62" i="22"/>
  <c r="H62" i="22"/>
  <c r="H68" i="22"/>
  <c r="E69" i="22"/>
  <c r="G16" i="22"/>
  <c r="E29" i="22"/>
  <c r="H29" i="22"/>
  <c r="E30" i="22"/>
  <c r="H30" i="22"/>
  <c r="E31" i="22"/>
  <c r="H31" i="22"/>
  <c r="E32" i="22"/>
  <c r="H32" i="22"/>
  <c r="E33" i="22"/>
  <c r="H33" i="22"/>
  <c r="E38" i="22"/>
  <c r="H38" i="22"/>
  <c r="E39" i="22"/>
  <c r="H39" i="22"/>
  <c r="E40" i="22"/>
  <c r="H40" i="22"/>
  <c r="E41" i="22"/>
  <c r="H41" i="22"/>
  <c r="E42" i="22"/>
  <c r="H42" i="22"/>
  <c r="E54" i="22"/>
  <c r="H54" i="22"/>
  <c r="E56" i="22"/>
  <c r="H56" i="22"/>
  <c r="E57" i="22"/>
  <c r="H57" i="22"/>
  <c r="E58" i="22"/>
  <c r="H58" i="22"/>
  <c r="E63" i="22"/>
  <c r="H63" i="22"/>
  <c r="E64" i="22"/>
  <c r="H64" i="22"/>
  <c r="E65" i="22"/>
  <c r="H65" i="22"/>
  <c r="E66" i="22"/>
  <c r="H66" i="22"/>
  <c r="E67" i="22"/>
  <c r="H67" i="22"/>
  <c r="E5" i="19"/>
  <c r="F5" i="19"/>
  <c r="E4" i="19"/>
  <c r="G4" i="19"/>
  <c r="D4" i="4"/>
  <c r="G4" i="4"/>
  <c r="G8" i="4"/>
  <c r="D5" i="4"/>
  <c r="G5" i="4"/>
  <c r="D6" i="4"/>
  <c r="G6" i="4"/>
  <c r="D7" i="4"/>
  <c r="G7" i="4"/>
  <c r="D11" i="4"/>
  <c r="G11" i="4"/>
  <c r="G15" i="4"/>
  <c r="D12" i="4"/>
  <c r="G12" i="4"/>
  <c r="D13" i="4"/>
  <c r="G13" i="4"/>
  <c r="D14" i="4"/>
  <c r="G14" i="4"/>
  <c r="E8" i="4"/>
  <c r="E15" i="4"/>
  <c r="F4" i="4"/>
  <c r="F8" i="4"/>
  <c r="F5" i="4"/>
  <c r="F6" i="4"/>
  <c r="F7" i="4"/>
  <c r="F11" i="4"/>
  <c r="F15" i="4"/>
  <c r="C16" i="4"/>
  <c r="F12" i="4"/>
  <c r="F13" i="4"/>
  <c r="F14" i="4"/>
  <c r="D18" i="4"/>
  <c r="D15" i="4"/>
  <c r="D8" i="4"/>
  <c r="D27" i="4"/>
  <c r="G27" i="4"/>
  <c r="G33" i="4"/>
  <c r="D28" i="4"/>
  <c r="G28" i="4"/>
  <c r="D29" i="4"/>
  <c r="G29" i="4"/>
  <c r="D30" i="4"/>
  <c r="G30" i="4"/>
  <c r="D31" i="4"/>
  <c r="G31" i="4"/>
  <c r="D32" i="4"/>
  <c r="G32" i="4"/>
  <c r="D36" i="4"/>
  <c r="G36" i="4"/>
  <c r="G42" i="4"/>
  <c r="D43" i="4"/>
  <c r="D37" i="4"/>
  <c r="G37" i="4"/>
  <c r="D38" i="4"/>
  <c r="G38" i="4"/>
  <c r="D39" i="4"/>
  <c r="G39" i="4"/>
  <c r="D40" i="4"/>
  <c r="G40" i="4"/>
  <c r="D41" i="4"/>
  <c r="G41" i="4"/>
  <c r="E33" i="4"/>
  <c r="E42" i="4"/>
  <c r="F27" i="4"/>
  <c r="F28" i="4"/>
  <c r="F29" i="4"/>
  <c r="F30" i="4"/>
  <c r="F33" i="4"/>
  <c r="C46" i="4"/>
  <c r="F31" i="4"/>
  <c r="F32" i="4"/>
  <c r="F36" i="4"/>
  <c r="F37" i="4"/>
  <c r="F38" i="4"/>
  <c r="F42" i="4"/>
  <c r="C43" i="4"/>
  <c r="F39" i="4"/>
  <c r="F40" i="4"/>
  <c r="F41" i="4"/>
  <c r="D45" i="4"/>
  <c r="D42" i="4"/>
  <c r="D33" i="4"/>
  <c r="E27" i="5"/>
  <c r="H27" i="5"/>
  <c r="H33" i="5"/>
  <c r="E28" i="5"/>
  <c r="H28" i="5"/>
  <c r="E29" i="5"/>
  <c r="H29" i="5"/>
  <c r="E30" i="5"/>
  <c r="H30" i="5"/>
  <c r="E31" i="5"/>
  <c r="H31" i="5"/>
  <c r="E32" i="5"/>
  <c r="H32" i="5"/>
  <c r="E36" i="5"/>
  <c r="H36" i="5"/>
  <c r="H42" i="5"/>
  <c r="E43" i="5"/>
  <c r="E37" i="5"/>
  <c r="H37" i="5"/>
  <c r="E38" i="5"/>
  <c r="H38" i="5"/>
  <c r="E39" i="5"/>
  <c r="H39" i="5"/>
  <c r="E40" i="5"/>
  <c r="H40" i="5"/>
  <c r="E41" i="5"/>
  <c r="H41" i="5"/>
  <c r="F33" i="5"/>
  <c r="F42" i="5"/>
  <c r="G27" i="5"/>
  <c r="G33" i="5"/>
  <c r="G28" i="5"/>
  <c r="G29" i="5"/>
  <c r="G30" i="5"/>
  <c r="G31" i="5"/>
  <c r="G32" i="5"/>
  <c r="G36" i="5"/>
  <c r="G42" i="5"/>
  <c r="C43" i="5"/>
  <c r="G37" i="5"/>
  <c r="G38" i="5"/>
  <c r="G39" i="5"/>
  <c r="G40" i="5"/>
  <c r="G41" i="5"/>
  <c r="E45" i="5"/>
  <c r="E42" i="5"/>
  <c r="E33" i="5"/>
  <c r="E4" i="5"/>
  <c r="H4" i="5"/>
  <c r="H8" i="5"/>
  <c r="E5" i="5"/>
  <c r="H5" i="5"/>
  <c r="E6" i="5"/>
  <c r="H6" i="5"/>
  <c r="E7" i="5"/>
  <c r="H7" i="5"/>
  <c r="E11" i="5"/>
  <c r="H11" i="5"/>
  <c r="H15" i="5"/>
  <c r="E16" i="5"/>
  <c r="E12" i="5"/>
  <c r="H12" i="5"/>
  <c r="E13" i="5"/>
  <c r="H13" i="5"/>
  <c r="E14" i="5"/>
  <c r="H14" i="5"/>
  <c r="F15" i="5"/>
  <c r="F8" i="5"/>
  <c r="G4" i="5"/>
  <c r="G5" i="5"/>
  <c r="G6" i="5"/>
  <c r="G8" i="5"/>
  <c r="G7" i="5"/>
  <c r="G11" i="5"/>
  <c r="G15" i="5"/>
  <c r="C16" i="5"/>
  <c r="G12" i="5"/>
  <c r="G13" i="5"/>
  <c r="G14" i="5"/>
  <c r="E18" i="5"/>
  <c r="E15" i="5"/>
  <c r="E8" i="5"/>
  <c r="G5" i="9"/>
  <c r="I5" i="9"/>
  <c r="H5" i="9"/>
  <c r="G4" i="9"/>
  <c r="J4" i="9"/>
  <c r="H4" i="9"/>
  <c r="E5" i="6"/>
  <c r="H5" i="6"/>
  <c r="E6" i="6"/>
  <c r="N6" i="6"/>
  <c r="E7" i="6"/>
  <c r="N7" i="6"/>
  <c r="H7" i="6"/>
  <c r="K7" i="6"/>
  <c r="E8" i="6"/>
  <c r="H8" i="6"/>
  <c r="K8" i="6"/>
  <c r="E9" i="6"/>
  <c r="N9" i="6"/>
  <c r="E10" i="6"/>
  <c r="N10" i="6"/>
  <c r="C11" i="6"/>
  <c r="C19" i="6"/>
  <c r="D11" i="6"/>
  <c r="D19" i="6"/>
  <c r="E19" i="6"/>
  <c r="E11" i="6"/>
  <c r="G11" i="6"/>
  <c r="J11" i="6"/>
  <c r="J19" i="6"/>
  <c r="J18" i="6"/>
  <c r="M11" i="6"/>
  <c r="E12" i="6"/>
  <c r="H12" i="6"/>
  <c r="E13" i="6"/>
  <c r="K13" i="6"/>
  <c r="E14" i="6"/>
  <c r="N14" i="6"/>
  <c r="E15" i="6"/>
  <c r="K15" i="6"/>
  <c r="E16" i="6"/>
  <c r="K16" i="6"/>
  <c r="E17" i="6"/>
  <c r="N17" i="6"/>
  <c r="H17" i="6"/>
  <c r="K17" i="6"/>
  <c r="C18" i="6"/>
  <c r="E18" i="6"/>
  <c r="D18" i="6"/>
  <c r="G18" i="6"/>
  <c r="G19" i="6"/>
  <c r="M18" i="6"/>
  <c r="M19" i="6"/>
  <c r="K5" i="9"/>
  <c r="L5" i="9"/>
  <c r="F14" i="22"/>
  <c r="D12" i="22"/>
  <c r="F3" i="28"/>
  <c r="F5" i="28"/>
  <c r="I5" i="28"/>
  <c r="D5" i="28"/>
  <c r="J14" i="24"/>
  <c r="J5" i="9"/>
  <c r="H15" i="6"/>
  <c r="N8" i="6"/>
  <c r="L12" i="22"/>
  <c r="L13" i="22"/>
  <c r="D9" i="4"/>
  <c r="K5" i="6"/>
  <c r="K14" i="6"/>
  <c r="H14" i="6"/>
  <c r="J14" i="22"/>
  <c r="L14" i="22"/>
  <c r="B14" i="24"/>
  <c r="N12" i="6"/>
  <c r="K12" i="6"/>
  <c r="K6" i="6"/>
  <c r="N5" i="6"/>
  <c r="G5" i="19"/>
  <c r="P4" i="30"/>
  <c r="T4" i="30"/>
  <c r="U4" i="30"/>
  <c r="J4" i="30"/>
  <c r="L4" i="30"/>
  <c r="M4" i="30"/>
  <c r="D16" i="4"/>
  <c r="D19" i="4"/>
  <c r="C60" i="25"/>
  <c r="B16" i="25"/>
  <c r="C72" i="25"/>
  <c r="J16" i="25"/>
  <c r="C19" i="5"/>
  <c r="C9" i="5"/>
  <c r="C47" i="22"/>
  <c r="J15" i="22"/>
  <c r="C35" i="22"/>
  <c r="B15" i="22"/>
  <c r="H12" i="22"/>
  <c r="G14" i="22"/>
  <c r="E43" i="24"/>
  <c r="K15" i="24"/>
  <c r="E33" i="24"/>
  <c r="C15" i="24"/>
  <c r="H68" i="25"/>
  <c r="E69" i="25"/>
  <c r="G16" i="25"/>
  <c r="L12" i="25"/>
  <c r="K14" i="25"/>
  <c r="E19" i="5"/>
  <c r="E9" i="5"/>
  <c r="C9" i="4"/>
  <c r="C19" i="4"/>
  <c r="H15" i="22"/>
  <c r="F17" i="24"/>
  <c r="H16" i="24"/>
  <c r="G17" i="24"/>
  <c r="L12" i="24"/>
  <c r="K14" i="24"/>
  <c r="F14" i="27"/>
  <c r="C64" i="24"/>
  <c r="J16" i="24"/>
  <c r="C54" i="24"/>
  <c r="B16" i="24"/>
  <c r="D34" i="4"/>
  <c r="D46" i="4"/>
  <c r="C35" i="25"/>
  <c r="B15" i="25"/>
  <c r="C47" i="25"/>
  <c r="J15" i="25"/>
  <c r="G14" i="24"/>
  <c r="I14" i="24"/>
  <c r="H12" i="24"/>
  <c r="H59" i="25"/>
  <c r="E60" i="22"/>
  <c r="C16" i="22"/>
  <c r="E72" i="22"/>
  <c r="K16" i="22"/>
  <c r="K18" i="6"/>
  <c r="C60" i="22"/>
  <c r="B16" i="22"/>
  <c r="C72" i="22"/>
  <c r="J16" i="22"/>
  <c r="E47" i="22"/>
  <c r="K15" i="22"/>
  <c r="E35" i="22"/>
  <c r="C15" i="22"/>
  <c r="C17" i="22"/>
  <c r="H13" i="22"/>
  <c r="C43" i="24"/>
  <c r="J15" i="24"/>
  <c r="E34" i="5"/>
  <c r="E46" i="5"/>
  <c r="C34" i="5"/>
  <c r="C46" i="5"/>
  <c r="F17" i="22"/>
  <c r="H16" i="22"/>
  <c r="D13" i="22"/>
  <c r="C14" i="22"/>
  <c r="E54" i="24"/>
  <c r="C16" i="24"/>
  <c r="E64" i="24"/>
  <c r="K16" i="24"/>
  <c r="C14" i="24"/>
  <c r="D12" i="24"/>
  <c r="H43" i="25"/>
  <c r="E44" i="25"/>
  <c r="G15" i="25"/>
  <c r="G17" i="25"/>
  <c r="C14" i="25"/>
  <c r="D12" i="25"/>
  <c r="F17" i="25"/>
  <c r="H16" i="25"/>
  <c r="H14" i="22"/>
  <c r="D14" i="24"/>
  <c r="G17" i="22"/>
  <c r="D14" i="22"/>
  <c r="E14" i="22"/>
  <c r="N11" i="6"/>
  <c r="H34" i="25"/>
  <c r="H13" i="25"/>
  <c r="G14" i="25"/>
  <c r="H26" i="27"/>
  <c r="K26" i="27"/>
  <c r="L26" i="27"/>
  <c r="I14" i="22"/>
  <c r="B14" i="25"/>
  <c r="H6" i="6"/>
  <c r="H13" i="6"/>
  <c r="H18" i="6"/>
  <c r="H9" i="6"/>
  <c r="H10" i="6"/>
  <c r="N13" i="6"/>
  <c r="K9" i="6"/>
  <c r="K11" i="6"/>
  <c r="K19" i="6"/>
  <c r="C34" i="4"/>
  <c r="H16" i="6"/>
  <c r="N15" i="6"/>
  <c r="N18" i="6"/>
  <c r="E14" i="24"/>
  <c r="M14" i="22"/>
  <c r="N16" i="6"/>
  <c r="J14" i="25"/>
  <c r="F4" i="19"/>
  <c r="I4" i="9"/>
  <c r="K4" i="9"/>
  <c r="L4" i="9"/>
  <c r="C33" i="24"/>
  <c r="B15" i="24"/>
  <c r="K10" i="6"/>
  <c r="S4" i="30"/>
  <c r="V4" i="30"/>
  <c r="O4" i="30"/>
  <c r="Q4" i="30"/>
  <c r="K17" i="22"/>
  <c r="L15" i="22"/>
  <c r="D15" i="22"/>
  <c r="L14" i="25"/>
  <c r="M14" i="25"/>
  <c r="H11" i="6"/>
  <c r="H19" i="6"/>
  <c r="L16" i="22"/>
  <c r="J17" i="22"/>
  <c r="D14" i="25"/>
  <c r="E14" i="25"/>
  <c r="B17" i="22"/>
  <c r="D16" i="22"/>
  <c r="B17" i="24"/>
  <c r="D16" i="24"/>
  <c r="H17" i="22"/>
  <c r="I17" i="22"/>
  <c r="J17" i="24"/>
  <c r="L16" i="24"/>
  <c r="M14" i="24"/>
  <c r="L14" i="24"/>
  <c r="H15" i="25"/>
  <c r="D16" i="25"/>
  <c r="B17" i="25"/>
  <c r="J17" i="25"/>
  <c r="J26" i="27"/>
  <c r="I26" i="27"/>
  <c r="M26" i="27"/>
  <c r="I14" i="25"/>
  <c r="H14" i="25"/>
  <c r="E60" i="25"/>
  <c r="C16" i="25"/>
  <c r="E72" i="25"/>
  <c r="K16" i="25"/>
  <c r="L16" i="25"/>
  <c r="H14" i="24"/>
  <c r="C17" i="24"/>
  <c r="E35" i="25"/>
  <c r="C15" i="25"/>
  <c r="D15" i="25"/>
  <c r="E47" i="25"/>
  <c r="K15" i="25"/>
  <c r="K17" i="24"/>
  <c r="I17" i="25"/>
  <c r="H17" i="25"/>
  <c r="K14" i="27"/>
  <c r="L14" i="27"/>
  <c r="H14" i="27"/>
  <c r="D15" i="24"/>
  <c r="N19" i="6"/>
  <c r="L15" i="24"/>
  <c r="H17" i="24"/>
  <c r="I17" i="24"/>
  <c r="M17" i="22"/>
  <c r="L17" i="22"/>
  <c r="M14" i="27"/>
  <c r="I14" i="27"/>
  <c r="J14" i="27"/>
  <c r="M17" i="24"/>
  <c r="L17" i="24"/>
  <c r="E17" i="24"/>
  <c r="D17" i="24"/>
  <c r="K17" i="25"/>
  <c r="M17" i="25"/>
  <c r="C17" i="25"/>
  <c r="D17" i="25"/>
  <c r="E17" i="25"/>
  <c r="D17" i="22"/>
  <c r="E17" i="22"/>
  <c r="L15" i="25"/>
  <c r="L17" i="25"/>
</calcChain>
</file>

<file path=xl/sharedStrings.xml><?xml version="1.0" encoding="utf-8"?>
<sst xmlns="http://schemas.openxmlformats.org/spreadsheetml/2006/main" count="871" uniqueCount="393">
  <si>
    <t>平均</t>
    <rPh sb="0" eb="2">
      <t>ヘイキン</t>
    </rPh>
    <phoneticPr fontId="2"/>
  </si>
  <si>
    <t>標準誤差</t>
    <rPh sb="0" eb="4">
      <t>ヒョウジュンゴサ</t>
    </rPh>
    <phoneticPr fontId="2"/>
  </si>
  <si>
    <t>70以上</t>
    <phoneticPr fontId="2"/>
  </si>
  <si>
    <t>全年齢</t>
    <phoneticPr fontId="2"/>
  </si>
  <si>
    <t>年齢調整値</t>
    <rPh sb="0" eb="2">
      <t>ネンレイ</t>
    </rPh>
    <rPh sb="2" eb="4">
      <t>チョウセイ</t>
    </rPh>
    <rPh sb="4" eb="5">
      <t>アタイ</t>
    </rPh>
    <phoneticPr fontId="2"/>
  </si>
  <si>
    <t>男性</t>
    <rPh sb="0" eb="2">
      <t>ダンセイ</t>
    </rPh>
    <phoneticPr fontId="2"/>
  </si>
  <si>
    <t>女性</t>
    <rPh sb="0" eb="1">
      <t>オンナ</t>
    </rPh>
    <rPh sb="1" eb="2">
      <t>セイ</t>
    </rPh>
    <phoneticPr fontId="2"/>
  </si>
  <si>
    <t>性年齢調整値</t>
    <rPh sb="0" eb="3">
      <t>セイネンレイ</t>
    </rPh>
    <rPh sb="3" eb="5">
      <t>チョウセイ</t>
    </rPh>
    <rPh sb="5" eb="6">
      <t>アタイ</t>
    </rPh>
    <phoneticPr fontId="2"/>
  </si>
  <si>
    <t>平均の重み付け和</t>
    <rPh sb="0" eb="2">
      <t>ヘイキン</t>
    </rPh>
    <rPh sb="3" eb="4">
      <t>オモ</t>
    </rPh>
    <rPh sb="5" eb="6">
      <t>ヅ</t>
    </rPh>
    <rPh sb="7" eb="8">
      <t>ワ</t>
    </rPh>
    <phoneticPr fontId="2"/>
  </si>
  <si>
    <r>
      <t>年齢階級</t>
    </r>
    <r>
      <rPr>
        <vertAlign val="superscript"/>
        <sz val="11"/>
        <rFont val="ＭＳ Ｐゴシック"/>
        <family val="3"/>
        <charset val="128"/>
      </rPr>
      <t>※1</t>
    </r>
    <rPh sb="0" eb="2">
      <t>ネンレイ</t>
    </rPh>
    <rPh sb="2" eb="4">
      <t>カイキュウ</t>
    </rPh>
    <phoneticPr fontId="2"/>
  </si>
  <si>
    <r>
      <t>基準人口</t>
    </r>
    <r>
      <rPr>
        <vertAlign val="superscript"/>
        <sz val="11"/>
        <rFont val="ＭＳ Ｐゴシック"/>
        <family val="3"/>
        <charset val="128"/>
      </rPr>
      <t>※2</t>
    </r>
    <rPh sb="0" eb="2">
      <t>キジュン</t>
    </rPh>
    <rPh sb="2" eb="4">
      <t>ジンコウ</t>
    </rPh>
    <phoneticPr fontId="2"/>
  </si>
  <si>
    <t>男女計</t>
    <rPh sb="0" eb="3">
      <t>ダンジョケイ</t>
    </rPh>
    <phoneticPr fontId="2"/>
  </si>
  <si>
    <t>重み付けによる（性）年齢調整平均</t>
    <rPh sb="0" eb="1">
      <t>オモ</t>
    </rPh>
    <rPh sb="2" eb="3">
      <t>ヅ</t>
    </rPh>
    <rPh sb="8" eb="9">
      <t>セイ</t>
    </rPh>
    <rPh sb="10" eb="12">
      <t>ネンレイ</t>
    </rPh>
    <rPh sb="12" eb="14">
      <t>チョウセイ</t>
    </rPh>
    <rPh sb="14" eb="16">
      <t>ヘイキン</t>
    </rPh>
    <phoneticPr fontId="2"/>
  </si>
  <si>
    <t>18～29</t>
    <phoneticPr fontId="2"/>
  </si>
  <si>
    <t>30～49</t>
    <phoneticPr fontId="2"/>
  </si>
  <si>
    <t>50～69</t>
    <phoneticPr fontId="2"/>
  </si>
  <si>
    <t>70以上</t>
    <phoneticPr fontId="2"/>
  </si>
  <si>
    <t>全年齢</t>
    <phoneticPr fontId="2"/>
  </si>
  <si>
    <r>
      <t>重み付け和の標準誤差</t>
    </r>
    <r>
      <rPr>
        <vertAlign val="superscript"/>
        <sz val="11"/>
        <rFont val="ＭＳ Ｐゴシック"/>
        <family val="3"/>
        <charset val="128"/>
      </rPr>
      <t>２</t>
    </r>
    <rPh sb="0" eb="1">
      <t>オモ</t>
    </rPh>
    <rPh sb="2" eb="3">
      <t>ヅ</t>
    </rPh>
    <rPh sb="4" eb="5">
      <t>ワ</t>
    </rPh>
    <rPh sb="6" eb="10">
      <t>ヒョウジュンゴサ</t>
    </rPh>
    <phoneticPr fontId="2"/>
  </si>
  <si>
    <t>※１　年齢階級を増やしたい時は、「18～29」と「30～49」の間に必要なだけ行を挿入する。年齢階級の見出し「18～29」などは書き換えてかまわない。</t>
    <rPh sb="3" eb="5">
      <t>ネンレイ</t>
    </rPh>
    <rPh sb="5" eb="7">
      <t>カイキュウ</t>
    </rPh>
    <rPh sb="8" eb="9">
      <t>フ</t>
    </rPh>
    <rPh sb="13" eb="14">
      <t>トキ</t>
    </rPh>
    <rPh sb="32" eb="33">
      <t>アイダ</t>
    </rPh>
    <rPh sb="34" eb="36">
      <t>ヒツヨウ</t>
    </rPh>
    <rPh sb="39" eb="40">
      <t>ギョウ</t>
    </rPh>
    <rPh sb="41" eb="43">
      <t>ソウニュウ</t>
    </rPh>
    <rPh sb="46" eb="48">
      <t>ネンレイ</t>
    </rPh>
    <rPh sb="48" eb="50">
      <t>カイキュウ</t>
    </rPh>
    <rPh sb="51" eb="53">
      <t>ミダ</t>
    </rPh>
    <rPh sb="64" eb="65">
      <t>カ</t>
    </rPh>
    <rPh sb="66" eb="67">
      <t>カ</t>
    </rPh>
    <phoneticPr fontId="2"/>
  </si>
  <si>
    <t>※２　基準人口は、現実の人口構成と極端には違わない適当な人口を用いる（上記は2005年国勢調査全国人口男女計（千人）である）。</t>
    <rPh sb="3" eb="5">
      <t>キジュン</t>
    </rPh>
    <rPh sb="5" eb="7">
      <t>ジンコウ</t>
    </rPh>
    <rPh sb="9" eb="11">
      <t>ゲンジツ</t>
    </rPh>
    <rPh sb="12" eb="14">
      <t>ジンコウ</t>
    </rPh>
    <rPh sb="14" eb="16">
      <t>コウセイ</t>
    </rPh>
    <rPh sb="17" eb="19">
      <t>キョクタン</t>
    </rPh>
    <rPh sb="21" eb="22">
      <t>チガ</t>
    </rPh>
    <rPh sb="25" eb="27">
      <t>テキトウ</t>
    </rPh>
    <rPh sb="28" eb="30">
      <t>ジンコウ</t>
    </rPh>
    <rPh sb="31" eb="32">
      <t>モチ</t>
    </rPh>
    <rPh sb="35" eb="37">
      <t>ジョウキ</t>
    </rPh>
    <rPh sb="42" eb="43">
      <t>ネン</t>
    </rPh>
    <rPh sb="43" eb="45">
      <t>コクセイ</t>
    </rPh>
    <rPh sb="45" eb="47">
      <t>チョウサ</t>
    </rPh>
    <rPh sb="47" eb="49">
      <t>ゼンコク</t>
    </rPh>
    <rPh sb="49" eb="51">
      <t>ジンコウ</t>
    </rPh>
    <rPh sb="51" eb="54">
      <t>ダンジョケイ</t>
    </rPh>
    <rPh sb="55" eb="57">
      <t>センニン</t>
    </rPh>
    <phoneticPr fontId="2"/>
  </si>
  <si>
    <t>18～29</t>
    <phoneticPr fontId="2"/>
  </si>
  <si>
    <t>30～49</t>
    <phoneticPr fontId="2"/>
  </si>
  <si>
    <t>50～69</t>
    <phoneticPr fontId="2"/>
  </si>
  <si>
    <t>70以上</t>
    <phoneticPr fontId="2"/>
  </si>
  <si>
    <t>※２　基準人口は、現実の人口構成と極端には違わない適当な人口を用いる。上記は2005年国勢調査全国人口男女計（千人）である。</t>
    <rPh sb="3" eb="5">
      <t>キジュン</t>
    </rPh>
    <rPh sb="5" eb="7">
      <t>ジンコウ</t>
    </rPh>
    <rPh sb="9" eb="11">
      <t>ゲンジツ</t>
    </rPh>
    <rPh sb="12" eb="14">
      <t>ジンコウ</t>
    </rPh>
    <rPh sb="14" eb="16">
      <t>コウセイ</t>
    </rPh>
    <rPh sb="17" eb="19">
      <t>キョクタン</t>
    </rPh>
    <rPh sb="21" eb="22">
      <t>チガ</t>
    </rPh>
    <rPh sb="25" eb="27">
      <t>テキトウ</t>
    </rPh>
    <rPh sb="28" eb="30">
      <t>ジンコウ</t>
    </rPh>
    <rPh sb="31" eb="32">
      <t>モチ</t>
    </rPh>
    <rPh sb="35" eb="37">
      <t>ジョウキ</t>
    </rPh>
    <rPh sb="42" eb="43">
      <t>ネン</t>
    </rPh>
    <rPh sb="43" eb="45">
      <t>コクセイ</t>
    </rPh>
    <rPh sb="45" eb="47">
      <t>チョウサ</t>
    </rPh>
    <rPh sb="47" eb="49">
      <t>ゼンコク</t>
    </rPh>
    <rPh sb="49" eb="51">
      <t>ジンコウ</t>
    </rPh>
    <rPh sb="51" eb="54">
      <t>ダンジョケイ</t>
    </rPh>
    <rPh sb="55" eb="57">
      <t>センニン</t>
    </rPh>
    <phoneticPr fontId="2"/>
  </si>
  <si>
    <t>※１　年齢階級を増やしたい時は、「18～29」と「30～49」の間に必要なだけ行を挿入し、計算式（赤い文字）をコピーペーストする。年齢階級の見出し「18～29」などは書き換えてかまわない。</t>
    <rPh sb="3" eb="5">
      <t>ネンレイ</t>
    </rPh>
    <rPh sb="5" eb="7">
      <t>カイキュウ</t>
    </rPh>
    <rPh sb="8" eb="9">
      <t>フ</t>
    </rPh>
    <rPh sb="13" eb="14">
      <t>トキ</t>
    </rPh>
    <rPh sb="32" eb="33">
      <t>アイダ</t>
    </rPh>
    <rPh sb="34" eb="36">
      <t>ヒツヨウ</t>
    </rPh>
    <rPh sb="39" eb="40">
      <t>ギョウ</t>
    </rPh>
    <rPh sb="41" eb="43">
      <t>ソウニュウ</t>
    </rPh>
    <rPh sb="45" eb="48">
      <t>ケイサンシキ</t>
    </rPh>
    <rPh sb="49" eb="50">
      <t>アカ</t>
    </rPh>
    <rPh sb="51" eb="53">
      <t>モジ</t>
    </rPh>
    <rPh sb="65" eb="67">
      <t>ネンレイ</t>
    </rPh>
    <rPh sb="67" eb="69">
      <t>カイキュウ</t>
    </rPh>
    <rPh sb="70" eb="72">
      <t>ミダ</t>
    </rPh>
    <rPh sb="83" eb="84">
      <t>カ</t>
    </rPh>
    <rPh sb="85" eb="86">
      <t>カ</t>
    </rPh>
    <phoneticPr fontId="2"/>
  </si>
  <si>
    <t>健康・栄養調査結果</t>
    <rPh sb="0" eb="2">
      <t>ケンコウ</t>
    </rPh>
    <rPh sb="3" eb="5">
      <t>エイヨウ</t>
    </rPh>
    <rPh sb="5" eb="7">
      <t>チョウサ</t>
    </rPh>
    <rPh sb="7" eb="9">
      <t>ケッカ</t>
    </rPh>
    <phoneticPr fontId="2"/>
  </si>
  <si>
    <t>平成２７年</t>
    <rPh sb="0" eb="2">
      <t>ヘイセイ</t>
    </rPh>
    <rPh sb="4" eb="5">
      <t>ネン</t>
    </rPh>
    <phoneticPr fontId="2"/>
  </si>
  <si>
    <t>平成３７年</t>
    <rPh sb="0" eb="2">
      <t>ヘイセイ</t>
    </rPh>
    <rPh sb="4" eb="5">
      <t>ネン</t>
    </rPh>
    <phoneticPr fontId="2"/>
  </si>
  <si>
    <t>調査人数</t>
    <rPh sb="0" eb="2">
      <t>チョウサ</t>
    </rPh>
    <rPh sb="2" eb="4">
      <t>ニンズウ</t>
    </rPh>
    <phoneticPr fontId="2"/>
  </si>
  <si>
    <t>糖尿病等人数</t>
    <rPh sb="3" eb="4">
      <t>トウ</t>
    </rPh>
    <rPh sb="4" eb="6">
      <t>ニンズウ</t>
    </rPh>
    <phoneticPr fontId="2"/>
  </si>
  <si>
    <t>割合</t>
    <rPh sb="0" eb="2">
      <t>ワリアイ</t>
    </rPh>
    <phoneticPr fontId="2"/>
  </si>
  <si>
    <t>人口</t>
    <rPh sb="0" eb="2">
      <t>ジンコウ</t>
    </rPh>
    <phoneticPr fontId="2"/>
  </si>
  <si>
    <t>糖尿病等推計人数</t>
    <rPh sb="3" eb="4">
      <t>トウ</t>
    </rPh>
    <rPh sb="4" eb="6">
      <t>スイケイ</t>
    </rPh>
    <rPh sb="6" eb="8">
      <t>ニンズウ</t>
    </rPh>
    <phoneticPr fontId="2"/>
  </si>
  <si>
    <t>将来推計
人口</t>
    <rPh sb="0" eb="2">
      <t>ショウライ</t>
    </rPh>
    <rPh sb="2" eb="4">
      <t>スイケイ</t>
    </rPh>
    <rPh sb="5" eb="7">
      <t>ジンコウ</t>
    </rPh>
    <phoneticPr fontId="2"/>
  </si>
  <si>
    <t>20－29歳</t>
  </si>
  <si>
    <t>30－39歳</t>
  </si>
  <si>
    <t>40－49歳</t>
  </si>
  <si>
    <t>50－59歳</t>
  </si>
  <si>
    <t>60－69歳</t>
  </si>
  <si>
    <t>70歳以上</t>
  </si>
  <si>
    <t>全体</t>
  </si>
  <si>
    <t>女性</t>
    <rPh sb="0" eb="2">
      <t>ジョセイ</t>
    </rPh>
    <phoneticPr fontId="2"/>
  </si>
  <si>
    <t>全体</t>
    <rPh sb="0" eb="2">
      <t>ゼンタイ</t>
    </rPh>
    <phoneticPr fontId="2"/>
  </si>
  <si>
    <t>平成１８年</t>
    <phoneticPr fontId="2"/>
  </si>
  <si>
    <t>水色のセルに必要な数値を入力すると、黄色のセルに結果が表示される。赤い文字の箇所には計算式が入っているので変えないこと。</t>
    <rPh sb="0" eb="2">
      <t>ミズイロ</t>
    </rPh>
    <rPh sb="6" eb="8">
      <t>ヒツヨウ</t>
    </rPh>
    <rPh sb="9" eb="11">
      <t>スウチ</t>
    </rPh>
    <rPh sb="12" eb="14">
      <t>ニュウリョク</t>
    </rPh>
    <rPh sb="18" eb="20">
      <t>キイロ</t>
    </rPh>
    <rPh sb="24" eb="26">
      <t>ケッカ</t>
    </rPh>
    <rPh sb="27" eb="29">
      <t>ヒョウジ</t>
    </rPh>
    <rPh sb="33" eb="34">
      <t>アカ</t>
    </rPh>
    <phoneticPr fontId="2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</si>
  <si>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</si>
  <si>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</si>
  <si>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</si>
  <si>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100歳以上</t>
    <rPh sb="3" eb="6">
      <t>サイイジョウ</t>
    </rPh>
    <phoneticPr fontId="5"/>
  </si>
  <si>
    <t>年齢不詳</t>
    <rPh sb="0" eb="2">
      <t>ネンレイ</t>
    </rPh>
    <rPh sb="2" eb="4">
      <t>フショウ</t>
    </rPh>
    <phoneticPr fontId="5"/>
  </si>
  <si>
    <t>年齢(各歳)，男女別人口(平成17年国勢調査)</t>
    <rPh sb="0" eb="2">
      <t>ネンレイ</t>
    </rPh>
    <rPh sb="3" eb="4">
      <t>カク</t>
    </rPh>
    <rPh sb="4" eb="5">
      <t>サイ</t>
    </rPh>
    <rPh sb="7" eb="9">
      <t>ダンジョ</t>
    </rPh>
    <rPh sb="9" eb="10">
      <t>ベツ</t>
    </rPh>
    <rPh sb="10" eb="12">
      <t>ジンコウ</t>
    </rPh>
    <rPh sb="13" eb="15">
      <t>ヘイセイ</t>
    </rPh>
    <rPh sb="17" eb="18">
      <t>ネン</t>
    </rPh>
    <rPh sb="18" eb="20">
      <t>コクセイ</t>
    </rPh>
    <rPh sb="20" eb="22">
      <t>チョウサ</t>
    </rPh>
    <phoneticPr fontId="5"/>
  </si>
  <si>
    <t>年齢</t>
    <rPh sb="0" eb="2">
      <t>ネンレイ</t>
    </rPh>
    <phoneticPr fontId="5"/>
  </si>
  <si>
    <t>90歳以上</t>
  </si>
  <si>
    <t>年齢(各歳)，男女別人口(平成12年推計人口)</t>
    <rPh sb="0" eb="2">
      <t>ネンレイ</t>
    </rPh>
    <rPh sb="3" eb="4">
      <t>カク</t>
    </rPh>
    <rPh sb="4" eb="5">
      <t>サイ</t>
    </rPh>
    <rPh sb="7" eb="9">
      <t>ダンジョ</t>
    </rPh>
    <rPh sb="9" eb="10">
      <t>ベツ</t>
    </rPh>
    <rPh sb="10" eb="12">
      <t>ジンコウ</t>
    </rPh>
    <rPh sb="13" eb="15">
      <t>ヘイセイ</t>
    </rPh>
    <rPh sb="17" eb="18">
      <t>ネン</t>
    </rPh>
    <rPh sb="18" eb="20">
      <t>スイケイ</t>
    </rPh>
    <rPh sb="20" eb="22">
      <t>ジンコウ</t>
    </rPh>
    <phoneticPr fontId="5"/>
  </si>
  <si>
    <t>点推定値</t>
    <rPh sb="0" eb="3">
      <t>テンスイテイ</t>
    </rPh>
    <rPh sb="3" eb="4">
      <t>チ</t>
    </rPh>
    <phoneticPr fontId="2"/>
  </si>
  <si>
    <t>Ａ県</t>
    <rPh sb="1" eb="2">
      <t>ケン</t>
    </rPh>
    <phoneticPr fontId="2"/>
  </si>
  <si>
    <t>Ｂ県</t>
    <rPh sb="1" eb="2">
      <t>ケン</t>
    </rPh>
    <phoneticPr fontId="2"/>
  </si>
  <si>
    <t>Z値</t>
    <rPh sb="1" eb="2">
      <t>アタイ</t>
    </rPh>
    <phoneticPr fontId="2"/>
  </si>
  <si>
    <t>P値</t>
    <rPh sb="1" eb="2">
      <t>アタイ</t>
    </rPh>
    <phoneticPr fontId="2"/>
  </si>
  <si>
    <t>差</t>
    <rPh sb="0" eb="1">
      <t>サ</t>
    </rPh>
    <phoneticPr fontId="2"/>
  </si>
  <si>
    <t>肥満者割合</t>
    <rPh sb="0" eb="3">
      <t>ヒマンシャ</t>
    </rPh>
    <rPh sb="3" eb="5">
      <t>ワリアイ</t>
    </rPh>
    <phoneticPr fontId="2"/>
  </si>
  <si>
    <t>BMI平均</t>
    <rPh sb="3" eb="5">
      <t>ヘイキン</t>
    </rPh>
    <phoneticPr fontId="2"/>
  </si>
  <si>
    <t>Ａ県、Ｂ県の変わりに、異なる時点としてもよい。</t>
    <rPh sb="1" eb="2">
      <t>ケン</t>
    </rPh>
    <rPh sb="4" eb="5">
      <t>ケン</t>
    </rPh>
    <rPh sb="6" eb="7">
      <t>カ</t>
    </rPh>
    <rPh sb="11" eb="12">
      <t>コト</t>
    </rPh>
    <rPh sb="14" eb="16">
      <t>ジテン</t>
    </rPh>
    <phoneticPr fontId="2"/>
  </si>
  <si>
    <t>点推定値と標準誤差から、２群の差の検定を行う</t>
    <rPh sb="0" eb="3">
      <t>テンスイテイ</t>
    </rPh>
    <rPh sb="3" eb="4">
      <t>チ</t>
    </rPh>
    <rPh sb="5" eb="9">
      <t>ヒョウジュンゴサ</t>
    </rPh>
    <rPh sb="13" eb="14">
      <t>グン</t>
    </rPh>
    <rPh sb="15" eb="16">
      <t>サ</t>
    </rPh>
    <rPh sb="17" eb="19">
      <t>ケンテイ</t>
    </rPh>
    <rPh sb="20" eb="21">
      <t>オコナ</t>
    </rPh>
    <phoneticPr fontId="2"/>
  </si>
  <si>
    <t>全年齢</t>
    <phoneticPr fontId="2"/>
  </si>
  <si>
    <t>評価時点の値</t>
    <rPh sb="0" eb="2">
      <t>ヒョウカ</t>
    </rPh>
    <rPh sb="2" eb="4">
      <t>ジテン</t>
    </rPh>
    <rPh sb="5" eb="6">
      <t>アタイ</t>
    </rPh>
    <phoneticPr fontId="2"/>
  </si>
  <si>
    <t>95%信頼区間</t>
    <rPh sb="3" eb="5">
      <t>シンライ</t>
    </rPh>
    <rPh sb="5" eb="7">
      <t>クカン</t>
    </rPh>
    <phoneticPr fontId="2"/>
  </si>
  <si>
    <t>下限</t>
    <rPh sb="0" eb="2">
      <t>カゲン</t>
    </rPh>
    <phoneticPr fontId="2"/>
  </si>
  <si>
    <t>上限</t>
    <rPh sb="0" eb="2">
      <t>ジョウゲン</t>
    </rPh>
    <phoneticPr fontId="2"/>
  </si>
  <si>
    <t>ベースラインの値</t>
    <rPh sb="7" eb="8">
      <t>チ</t>
    </rPh>
    <phoneticPr fontId="2"/>
  </si>
  <si>
    <t>人数</t>
    <rPh sb="0" eb="2">
      <t>ニンズウ</t>
    </rPh>
    <phoneticPr fontId="2"/>
  </si>
  <si>
    <t>標準偏差</t>
    <rPh sb="0" eb="4">
      <t>ヒョウジュンヘンサ</t>
    </rPh>
    <phoneticPr fontId="2"/>
  </si>
  <si>
    <t>標準
誤差</t>
    <rPh sb="0" eb="2">
      <t>ヒョウジュン</t>
    </rPh>
    <rPh sb="3" eb="5">
      <t>ゴサ</t>
    </rPh>
    <phoneticPr fontId="2"/>
  </si>
  <si>
    <t>20～29</t>
    <phoneticPr fontId="2"/>
  </si>
  <si>
    <t>30～39</t>
    <phoneticPr fontId="2"/>
  </si>
  <si>
    <t>-</t>
    <phoneticPr fontId="2"/>
  </si>
  <si>
    <t>40～49</t>
    <phoneticPr fontId="2"/>
  </si>
  <si>
    <t>50～59</t>
    <phoneticPr fontId="2"/>
  </si>
  <si>
    <t>60～69</t>
    <phoneticPr fontId="2"/>
  </si>
  <si>
    <t>-</t>
    <phoneticPr fontId="2"/>
  </si>
  <si>
    <t>目標達成度評価シート</t>
    <rPh sb="0" eb="2">
      <t>モクヒョウ</t>
    </rPh>
    <rPh sb="2" eb="5">
      <t>タッセイド</t>
    </rPh>
    <rPh sb="5" eb="7">
      <t>ヒョウカ</t>
    </rPh>
    <phoneticPr fontId="2"/>
  </si>
  <si>
    <t>計画名</t>
    <rPh sb="0" eb="3">
      <t>ケイカクメイ</t>
    </rPh>
    <phoneticPr fontId="2"/>
  </si>
  <si>
    <t>目標設定分野</t>
    <rPh sb="0" eb="2">
      <t>モクヒョウ</t>
    </rPh>
    <rPh sb="2" eb="4">
      <t>セッテイ</t>
    </rPh>
    <rPh sb="4" eb="6">
      <t>ブンヤ</t>
    </rPh>
    <phoneticPr fontId="2"/>
  </si>
  <si>
    <t>目標課題</t>
    <rPh sb="0" eb="2">
      <t>モクヒョウ</t>
    </rPh>
    <rPh sb="2" eb="4">
      <t>カダイ</t>
    </rPh>
    <phoneticPr fontId="2"/>
  </si>
  <si>
    <t>指標</t>
    <rPh sb="0" eb="2">
      <t>シヒョウ</t>
    </rPh>
    <phoneticPr fontId="2"/>
  </si>
  <si>
    <t>ﾍﾞｰｽﾗｲﾝ時点および調査法・人数</t>
    <rPh sb="7" eb="9">
      <t>ジテン</t>
    </rPh>
    <rPh sb="12" eb="14">
      <t>チョウサ</t>
    </rPh>
    <rPh sb="14" eb="15">
      <t>ホウ</t>
    </rPh>
    <rPh sb="16" eb="18">
      <t>ニンズウ</t>
    </rPh>
    <phoneticPr fontId="2"/>
  </si>
  <si>
    <t>評価時点および調査法・人数</t>
    <rPh sb="0" eb="2">
      <t>ヒョウカ</t>
    </rPh>
    <rPh sb="2" eb="3">
      <t>ジ</t>
    </rPh>
    <rPh sb="3" eb="4">
      <t>テン</t>
    </rPh>
    <rPh sb="7" eb="10">
      <t>チョウサホウ</t>
    </rPh>
    <rPh sb="11" eb="13">
      <t>ニンズウ</t>
    </rPh>
    <phoneticPr fontId="2"/>
  </si>
  <si>
    <t>目標値</t>
    <rPh sb="0" eb="3">
      <t>モクヒョウチ</t>
    </rPh>
    <phoneticPr fontId="2"/>
  </si>
  <si>
    <t>評価時の値</t>
    <rPh sb="0" eb="2">
      <t>ヒョウカ</t>
    </rPh>
    <rPh sb="2" eb="3">
      <t>ジ</t>
    </rPh>
    <rPh sb="4" eb="5">
      <t>アタイ</t>
    </rPh>
    <phoneticPr fontId="2"/>
  </si>
  <si>
    <t>　　　　変化幅</t>
    <rPh sb="4" eb="7">
      <t>ヘンカハバ</t>
    </rPh>
    <phoneticPr fontId="2"/>
  </si>
  <si>
    <t>ベースラインの年齢調整値</t>
    <rPh sb="7" eb="9">
      <t>ネンレイ</t>
    </rPh>
    <rPh sb="9" eb="11">
      <t>チョウセイ</t>
    </rPh>
    <rPh sb="11" eb="12">
      <t>チ</t>
    </rPh>
    <phoneticPr fontId="2"/>
  </si>
  <si>
    <t>評価時の年齢調整値</t>
    <rPh sb="0" eb="2">
      <t>ヒョウカ</t>
    </rPh>
    <rPh sb="2" eb="3">
      <t>ジ</t>
    </rPh>
    <rPh sb="4" eb="6">
      <t>ネンレイ</t>
    </rPh>
    <rPh sb="6" eb="9">
      <t>チョウセイチ</t>
    </rPh>
    <phoneticPr fontId="2"/>
  </si>
  <si>
    <t>目標達成状況に関する考察</t>
    <rPh sb="0" eb="2">
      <t>モクヒョウ</t>
    </rPh>
    <rPh sb="2" eb="4">
      <t>タッセイ</t>
    </rPh>
    <rPh sb="4" eb="6">
      <t>ジョウキョウ</t>
    </rPh>
    <rPh sb="7" eb="8">
      <t>カン</t>
    </rPh>
    <rPh sb="10" eb="12">
      <t>コウサツ</t>
    </rPh>
    <phoneticPr fontId="2"/>
  </si>
  <si>
    <t>目標達成に向けての今後の課題</t>
    <rPh sb="0" eb="2">
      <t>モクヒョウ</t>
    </rPh>
    <rPh sb="2" eb="4">
      <t>タッセイ</t>
    </rPh>
    <rPh sb="5" eb="6">
      <t>ム</t>
    </rPh>
    <rPh sb="9" eb="11">
      <t>コンゴ</t>
    </rPh>
    <rPh sb="12" eb="14">
      <t>カダイ</t>
    </rPh>
    <phoneticPr fontId="2"/>
  </si>
  <si>
    <t>調査法の問題点</t>
    <rPh sb="0" eb="3">
      <t>チョウサホウ</t>
    </rPh>
    <rPh sb="4" eb="7">
      <t>モンダイテン</t>
    </rPh>
    <phoneticPr fontId="2"/>
  </si>
  <si>
    <t>年齢調整の基準人口は、2005年国勢調査人口（男女計）である。</t>
    <rPh sb="0" eb="2">
      <t>ネンレイ</t>
    </rPh>
    <rPh sb="2" eb="4">
      <t>チョウセイ</t>
    </rPh>
    <rPh sb="5" eb="7">
      <t>キジュン</t>
    </rPh>
    <rPh sb="7" eb="9">
      <t>ジンコウ</t>
    </rPh>
    <rPh sb="15" eb="16">
      <t>ネン</t>
    </rPh>
    <rPh sb="16" eb="18">
      <t>コクセイ</t>
    </rPh>
    <rPh sb="18" eb="20">
      <t>チョウサ</t>
    </rPh>
    <rPh sb="20" eb="22">
      <t>ジンコウ</t>
    </rPh>
    <rPh sb="23" eb="26">
      <t>ダンジョケイ</t>
    </rPh>
    <phoneticPr fontId="2"/>
  </si>
  <si>
    <t>↓↓↓水色の欄に入力↓↓↓（標準誤差が不明の場合は自動計算に任せる）</t>
    <rPh sb="3" eb="5">
      <t>ミズイロ</t>
    </rPh>
    <rPh sb="6" eb="7">
      <t>ラン</t>
    </rPh>
    <rPh sb="8" eb="10">
      <t>ニュウリョク</t>
    </rPh>
    <rPh sb="14" eb="18">
      <t>ヒョウジュンゴサ</t>
    </rPh>
    <rPh sb="19" eb="21">
      <t>フメイ</t>
    </rPh>
    <rPh sb="22" eb="24">
      <t>バアイ</t>
    </rPh>
    <rPh sb="25" eb="27">
      <t>ジドウ</t>
    </rPh>
    <rPh sb="27" eb="29">
      <t>ケイサン</t>
    </rPh>
    <rPh sb="30" eb="31">
      <t>マカ</t>
    </rPh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</si>
  <si>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</si>
  <si>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</si>
  <si>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</si>
  <si>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</si>
  <si>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</si>
  <si>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70以上</t>
    <phoneticPr fontId="2"/>
  </si>
  <si>
    <t>全年齢</t>
    <phoneticPr fontId="2"/>
  </si>
  <si>
    <t>水色のセルに必要な数値を入力すると、黄色のセルに結果が表示される。</t>
    <rPh sb="0" eb="2">
      <t>ミズイロ</t>
    </rPh>
    <rPh sb="6" eb="8">
      <t>ヒツヨウ</t>
    </rPh>
    <rPh sb="9" eb="11">
      <t>スウチ</t>
    </rPh>
    <rPh sb="12" eb="14">
      <t>ニュウリョク</t>
    </rPh>
    <rPh sb="18" eb="20">
      <t>キイロ</t>
    </rPh>
    <rPh sb="24" eb="26">
      <t>ケッカ</t>
    </rPh>
    <rPh sb="27" eb="29">
      <t>ヒョウジ</t>
    </rPh>
    <phoneticPr fontId="2"/>
  </si>
  <si>
    <t>重み付けによる（性）年齢調整平均（１８歳以上）</t>
    <rPh sb="0" eb="1">
      <t>オモ</t>
    </rPh>
    <rPh sb="2" eb="3">
      <t>ヅ</t>
    </rPh>
    <rPh sb="8" eb="9">
      <t>セイ</t>
    </rPh>
    <rPh sb="10" eb="12">
      <t>ネンレイ</t>
    </rPh>
    <rPh sb="12" eb="14">
      <t>チョウセイ</t>
    </rPh>
    <rPh sb="14" eb="16">
      <t>ヘイキン</t>
    </rPh>
    <rPh sb="19" eb="20">
      <t>サイ</t>
    </rPh>
    <rPh sb="20" eb="22">
      <t>イジョウ</t>
    </rPh>
    <phoneticPr fontId="2"/>
  </si>
  <si>
    <t>重み付けによる（性）年齢調整平均（２０歳以上）</t>
    <rPh sb="0" eb="1">
      <t>オモ</t>
    </rPh>
    <rPh sb="2" eb="3">
      <t>ヅ</t>
    </rPh>
    <rPh sb="8" eb="9">
      <t>セイ</t>
    </rPh>
    <rPh sb="10" eb="12">
      <t>ネンレイ</t>
    </rPh>
    <rPh sb="12" eb="14">
      <t>チョウセイ</t>
    </rPh>
    <rPh sb="14" eb="16">
      <t>ヘイキン</t>
    </rPh>
    <phoneticPr fontId="2"/>
  </si>
  <si>
    <t>割合(%)</t>
    <rPh sb="0" eb="2">
      <t>ワリアイ</t>
    </rPh>
    <phoneticPr fontId="2"/>
  </si>
  <si>
    <t>標準
誤差(%)</t>
    <rPh sb="0" eb="2">
      <t>ヒョウジュン</t>
    </rPh>
    <rPh sb="3" eb="5">
      <t>ゴサ</t>
    </rPh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</si>
  <si>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</si>
  <si>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</si>
  <si>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</si>
  <si>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</si>
  <si>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</si>
  <si>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70以上</t>
    <phoneticPr fontId="2"/>
  </si>
  <si>
    <t>全年齢</t>
    <phoneticPr fontId="2"/>
  </si>
  <si>
    <t>重み付けによる（性）年齢調整平均（２０歳以上）</t>
    <rPh sb="0" eb="1">
      <t>オモ</t>
    </rPh>
    <rPh sb="2" eb="3">
      <t>ヅ</t>
    </rPh>
    <rPh sb="8" eb="9">
      <t>セイ</t>
    </rPh>
    <rPh sb="10" eb="12">
      <t>ネンレイ</t>
    </rPh>
    <rPh sb="12" eb="14">
      <t>チョウセイ</t>
    </rPh>
    <rPh sb="14" eb="16">
      <t>ヘイキン</t>
    </rPh>
    <rPh sb="19" eb="20">
      <t>サイ</t>
    </rPh>
    <rPh sb="20" eb="22">
      <t>イジョウ</t>
    </rPh>
    <phoneticPr fontId="2"/>
  </si>
  <si>
    <t>必要なだけ行をコピーして使う。</t>
    <rPh sb="0" eb="2">
      <t>ヒツヨウ</t>
    </rPh>
    <rPh sb="5" eb="6">
      <t>ギョウ</t>
    </rPh>
    <rPh sb="12" eb="13">
      <t>ツカ</t>
    </rPh>
    <phoneticPr fontId="2"/>
  </si>
  <si>
    <t>健康栄養・調査報告書２回分を見て、その２時点の間にあなたの県（市）の男性の食塩摂取量の年齢調整平均値が、どのように変化したかを調べてみましょう。</t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</si>
  <si>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</si>
  <si>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</si>
  <si>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-</t>
    <phoneticPr fontId="2"/>
  </si>
  <si>
    <t>全年齢</t>
    <phoneticPr fontId="2"/>
  </si>
  <si>
    <t>-</t>
    <phoneticPr fontId="2"/>
  </si>
  <si>
    <t>○○県健康増進計画</t>
    <rPh sb="2" eb="3">
      <t>ケン</t>
    </rPh>
    <rPh sb="3" eb="5">
      <t>ケンコウ</t>
    </rPh>
    <rPh sb="5" eb="7">
      <t>ゾウシン</t>
    </rPh>
    <rPh sb="7" eb="9">
      <t>ケイカク</t>
    </rPh>
    <phoneticPr fontId="2"/>
  </si>
  <si>
    <t>栄養・食生活</t>
    <rPh sb="0" eb="2">
      <t>エイヨウ</t>
    </rPh>
    <rPh sb="3" eb="6">
      <t>ショクセイカツ</t>
    </rPh>
    <phoneticPr fontId="2"/>
  </si>
  <si>
    <t>食塩摂取量の平均値</t>
    <rPh sb="0" eb="2">
      <t>ショクエン</t>
    </rPh>
    <rPh sb="2" eb="5">
      <t>セッシュリョウ</t>
    </rPh>
    <rPh sb="6" eb="9">
      <t>ヘイキンチ</t>
    </rPh>
    <phoneticPr fontId="2"/>
  </si>
  <si>
    <t>食塩摂取量の減少</t>
    <rPh sb="0" eb="2">
      <t>ショクエン</t>
    </rPh>
    <rPh sb="2" eb="5">
      <t>セッシュリョウ</t>
    </rPh>
    <rPh sb="6" eb="8">
      <t>ゲンショウ</t>
    </rPh>
    <phoneticPr fontId="2"/>
  </si>
  <si>
    <t>平成15年　○○県民栄養調査　xxxx人</t>
    <rPh sb="0" eb="2">
      <t>ヘイセイ</t>
    </rPh>
    <rPh sb="4" eb="5">
      <t>ネン</t>
    </rPh>
    <rPh sb="8" eb="10">
      <t>ケンミン</t>
    </rPh>
    <rPh sb="10" eb="12">
      <t>エイヨウ</t>
    </rPh>
    <rPh sb="12" eb="14">
      <t>チョウサ</t>
    </rPh>
    <rPh sb="19" eb="20">
      <t>ニン</t>
    </rPh>
    <phoneticPr fontId="2"/>
  </si>
  <si>
    <t>平成19年　○○県民栄養調査　xxxx人</t>
    <rPh sb="19" eb="20">
      <t>ニン</t>
    </rPh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</si>
  <si>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</si>
  <si>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</si>
  <si>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</si>
  <si>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</si>
  <si>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</si>
  <si>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70以上</t>
    <phoneticPr fontId="2"/>
  </si>
  <si>
    <t>全年齢</t>
    <phoneticPr fontId="2"/>
  </si>
  <si>
    <t>18～29</t>
    <phoneticPr fontId="2"/>
  </si>
  <si>
    <t>30～49</t>
    <phoneticPr fontId="2"/>
  </si>
  <si>
    <t>50～69</t>
    <phoneticPr fontId="2"/>
  </si>
  <si>
    <t>70以上</t>
    <phoneticPr fontId="2"/>
  </si>
  <si>
    <t>全年齢</t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</si>
  <si>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</si>
  <si>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</si>
  <si>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</si>
  <si>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</si>
  <si>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</si>
  <si>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70以上</t>
    <phoneticPr fontId="2"/>
  </si>
  <si>
    <t>全年齢</t>
    <phoneticPr fontId="2"/>
  </si>
  <si>
    <t>現時点の性年齢階級別有病率等が不変と仮定した場合の、人口の高齢化に伴う将来の有病者数の変化予測</t>
    <rPh sb="40" eb="41">
      <t>シャ</t>
    </rPh>
    <rPh sb="41" eb="42">
      <t>スウ</t>
    </rPh>
    <phoneticPr fontId="2"/>
  </si>
  <si>
    <t>間接法で年齢調整（標準化該当比）を計算するシート</t>
    <rPh sb="0" eb="2">
      <t>カンセツ</t>
    </rPh>
    <rPh sb="2" eb="3">
      <t>ホウ</t>
    </rPh>
    <rPh sb="4" eb="6">
      <t>ネンレイ</t>
    </rPh>
    <rPh sb="6" eb="8">
      <t>チョウセイ</t>
    </rPh>
    <rPh sb="9" eb="12">
      <t>ヒョウジュンカ</t>
    </rPh>
    <rPh sb="12" eb="14">
      <t>ガイトウ</t>
    </rPh>
    <rPh sb="14" eb="15">
      <t>ヒ</t>
    </rPh>
    <rPh sb="17" eb="19">
      <t>ケイサン</t>
    </rPh>
    <phoneticPr fontId="2"/>
  </si>
  <si>
    <t>男性</t>
    <rPh sb="0" eb="2">
      <t>ダンセイ</t>
    </rPh>
    <phoneticPr fontId="26"/>
  </si>
  <si>
    <t>○○県（標準集団）平成XX年</t>
    <rPh sb="2" eb="3">
      <t>ケン</t>
    </rPh>
    <rPh sb="4" eb="6">
      <t>ヒョウジュン</t>
    </rPh>
    <rPh sb="6" eb="8">
      <t>シュウダン</t>
    </rPh>
    <rPh sb="9" eb="11">
      <t>ヘイセイ</t>
    </rPh>
    <rPh sb="13" eb="14">
      <t>ネン</t>
    </rPh>
    <phoneticPr fontId="2"/>
  </si>
  <si>
    <t>A市（比較集団）平成XX年</t>
    <rPh sb="8" eb="10">
      <t>ヘイセイ</t>
    </rPh>
    <rPh sb="12" eb="13">
      <t>ネン</t>
    </rPh>
    <phoneticPr fontId="2"/>
  </si>
  <si>
    <t>年齢階級</t>
    <rPh sb="0" eb="2">
      <t>ネンレイ</t>
    </rPh>
    <rPh sb="2" eb="4">
      <t>カイキュウ</t>
    </rPh>
    <phoneticPr fontId="2"/>
  </si>
  <si>
    <t>該当者</t>
    <rPh sb="0" eb="3">
      <t>ガイトウシャ</t>
    </rPh>
    <phoneticPr fontId="26"/>
  </si>
  <si>
    <t>受診者数</t>
    <rPh sb="0" eb="3">
      <t>ジュシンシャ</t>
    </rPh>
    <rPh sb="3" eb="4">
      <t>スウ</t>
    </rPh>
    <phoneticPr fontId="2"/>
  </si>
  <si>
    <t>該当者率</t>
    <rPh sb="0" eb="3">
      <t>ガイトウシャ</t>
    </rPh>
    <rPh sb="3" eb="4">
      <t>リツ</t>
    </rPh>
    <phoneticPr fontId="2"/>
  </si>
  <si>
    <t>期待該当者数</t>
    <rPh sb="0" eb="2">
      <t>キタイ</t>
    </rPh>
    <rPh sb="2" eb="5">
      <t>ガイトウシャ</t>
    </rPh>
    <rPh sb="5" eb="6">
      <t>スウ</t>
    </rPh>
    <phoneticPr fontId="2"/>
  </si>
  <si>
    <t>実測該当者数</t>
    <rPh sb="0" eb="2">
      <t>ジッソク</t>
    </rPh>
    <rPh sb="2" eb="5">
      <t>ガイトウシャ</t>
    </rPh>
    <rPh sb="5" eb="6">
      <t>スウ</t>
    </rPh>
    <phoneticPr fontId="2"/>
  </si>
  <si>
    <t>４０～４９</t>
    <phoneticPr fontId="2"/>
  </si>
  <si>
    <t>1:有意に低い</t>
    <rPh sb="2" eb="4">
      <t>ユウイ</t>
    </rPh>
    <rPh sb="5" eb="6">
      <t>ヒク</t>
    </rPh>
    <phoneticPr fontId="26"/>
  </si>
  <si>
    <t>５０～５９</t>
    <phoneticPr fontId="2"/>
  </si>
  <si>
    <t>2:低いが有意ではない</t>
    <rPh sb="2" eb="3">
      <t>ヒク</t>
    </rPh>
    <rPh sb="5" eb="7">
      <t>ユウイ</t>
    </rPh>
    <phoneticPr fontId="26"/>
  </si>
  <si>
    <t>６０～６９</t>
    <phoneticPr fontId="2"/>
  </si>
  <si>
    <t>95%信頼区間</t>
    <rPh sb="3" eb="5">
      <t>シンライ</t>
    </rPh>
    <rPh sb="5" eb="7">
      <t>クカン</t>
    </rPh>
    <phoneticPr fontId="26"/>
  </si>
  <si>
    <t>3:高いが有意ではない</t>
    <rPh sb="2" eb="3">
      <t>タカ</t>
    </rPh>
    <rPh sb="5" eb="7">
      <t>ユウイ</t>
    </rPh>
    <phoneticPr fontId="26"/>
  </si>
  <si>
    <t>７０～７４</t>
    <phoneticPr fontId="2"/>
  </si>
  <si>
    <t>標準化該当比</t>
    <rPh sb="0" eb="3">
      <t>ヒョウジュンカ</t>
    </rPh>
    <rPh sb="3" eb="6">
      <t>ガイトウヒ</t>
    </rPh>
    <phoneticPr fontId="26"/>
  </si>
  <si>
    <t>下限</t>
    <rPh sb="0" eb="2">
      <t>カゲン</t>
    </rPh>
    <phoneticPr fontId="26"/>
  </si>
  <si>
    <t>上限</t>
    <rPh sb="0" eb="2">
      <t>ジョウゲン</t>
    </rPh>
    <phoneticPr fontId="26"/>
  </si>
  <si>
    <t>Z値</t>
    <rPh sb="1" eb="2">
      <t>アタイ</t>
    </rPh>
    <phoneticPr fontId="26"/>
  </si>
  <si>
    <t>P値</t>
    <rPh sb="1" eb="2">
      <t>アタイ</t>
    </rPh>
    <phoneticPr fontId="26"/>
  </si>
  <si>
    <t>判定区分</t>
    <rPh sb="0" eb="2">
      <t>ハンテイ</t>
    </rPh>
    <rPh sb="2" eb="4">
      <t>クブン</t>
    </rPh>
    <phoneticPr fontId="26"/>
  </si>
  <si>
    <t>4:有意に高い</t>
    <rPh sb="2" eb="4">
      <t>ユウイ</t>
    </rPh>
    <rPh sb="5" eb="6">
      <t>タカ</t>
    </rPh>
    <phoneticPr fontId="26"/>
  </si>
  <si>
    <t>全年齢</t>
    <rPh sb="0" eb="1">
      <t>ゼン</t>
    </rPh>
    <rPh sb="1" eb="3">
      <t>ネンレイ</t>
    </rPh>
    <phoneticPr fontId="2"/>
  </si>
  <si>
    <t>←地図に色分けする</t>
    <rPh sb="1" eb="3">
      <t>チズ</t>
    </rPh>
    <rPh sb="4" eb="6">
      <t>イロワ</t>
    </rPh>
    <phoneticPr fontId="26"/>
  </si>
  <si>
    <t>県の値を緑色の欄に入れる</t>
    <rPh sb="0" eb="1">
      <t>ケン</t>
    </rPh>
    <rPh sb="2" eb="3">
      <t>アタイ</t>
    </rPh>
    <rPh sb="4" eb="6">
      <t>ミドリイロ</t>
    </rPh>
    <rPh sb="7" eb="8">
      <t>ラン</t>
    </rPh>
    <rPh sb="9" eb="10">
      <t>イ</t>
    </rPh>
    <phoneticPr fontId="26"/>
  </si>
  <si>
    <t>市町村の値を青枠部分に入れる</t>
    <rPh sb="0" eb="3">
      <t>シチョウソン</t>
    </rPh>
    <rPh sb="4" eb="5">
      <t>アタイ</t>
    </rPh>
    <rPh sb="6" eb="7">
      <t>アオ</t>
    </rPh>
    <rPh sb="7" eb="8">
      <t>ワク</t>
    </rPh>
    <rPh sb="8" eb="10">
      <t>ブブン</t>
    </rPh>
    <rPh sb="11" eb="12">
      <t>イ</t>
    </rPh>
    <phoneticPr fontId="2"/>
  </si>
  <si>
    <t>間接法で年齢調整（標準化死亡比）を計算するシート</t>
    <rPh sb="0" eb="2">
      <t>カンセツ</t>
    </rPh>
    <rPh sb="2" eb="3">
      <t>ホウ</t>
    </rPh>
    <rPh sb="4" eb="6">
      <t>ネンレイ</t>
    </rPh>
    <rPh sb="6" eb="8">
      <t>チョウセイ</t>
    </rPh>
    <rPh sb="9" eb="12">
      <t>ヒョウジュンカ</t>
    </rPh>
    <rPh sb="12" eb="15">
      <t>シボウヒ</t>
    </rPh>
    <rPh sb="17" eb="19">
      <t>ケイサン</t>
    </rPh>
    <phoneticPr fontId="2"/>
  </si>
  <si>
    <t>死亡率</t>
    <rPh sb="0" eb="3">
      <t>シボウリツ</t>
    </rPh>
    <phoneticPr fontId="2"/>
  </si>
  <si>
    <t>期待死亡数</t>
    <rPh sb="0" eb="2">
      <t>キタイ</t>
    </rPh>
    <rPh sb="2" eb="4">
      <t>シボウ</t>
    </rPh>
    <rPh sb="4" eb="5">
      <t>スウ</t>
    </rPh>
    <phoneticPr fontId="2"/>
  </si>
  <si>
    <t>観測死亡数数</t>
    <rPh sb="0" eb="2">
      <t>カンソク</t>
    </rPh>
    <rPh sb="2" eb="5">
      <t>シボウスウ</t>
    </rPh>
    <rPh sb="5" eb="6">
      <t>スウ</t>
    </rPh>
    <phoneticPr fontId="2"/>
  </si>
  <si>
    <t>死亡数</t>
    <rPh sb="0" eb="3">
      <t>シボウスウ</t>
    </rPh>
    <phoneticPr fontId="26"/>
  </si>
  <si>
    <t>標準化死亡比</t>
    <rPh sb="0" eb="3">
      <t>ヒョウジュンカ</t>
    </rPh>
    <rPh sb="3" eb="6">
      <t>シボウヒ</t>
    </rPh>
    <phoneticPr fontId="26"/>
  </si>
  <si>
    <t>０～９</t>
    <phoneticPr fontId="2"/>
  </si>
  <si>
    <t>１０～１９</t>
  </si>
  <si>
    <t>２０～２９</t>
  </si>
  <si>
    <t>３０～３９</t>
  </si>
  <si>
    <t>４０～４９</t>
  </si>
  <si>
    <t>５０～５９</t>
  </si>
  <si>
    <t>７０～７９</t>
    <phoneticPr fontId="2"/>
  </si>
  <si>
    <t>８０～</t>
    <phoneticPr fontId="2"/>
  </si>
  <si>
    <t>２群を併合した平均と標準偏差の計算</t>
    <rPh sb="1" eb="2">
      <t>グン</t>
    </rPh>
    <rPh sb="3" eb="5">
      <t>ヘイゴウ</t>
    </rPh>
    <rPh sb="7" eb="9">
      <t>ヘイキン</t>
    </rPh>
    <rPh sb="10" eb="12">
      <t>ヒョウジュン</t>
    </rPh>
    <rPh sb="12" eb="14">
      <t>ヘンサ</t>
    </rPh>
    <rPh sb="15" eb="17">
      <t>ケイサン</t>
    </rPh>
    <phoneticPr fontId="2"/>
  </si>
  <si>
    <t>TAj</t>
    <phoneticPr fontId="2"/>
  </si>
  <si>
    <t>SSA</t>
    <phoneticPr fontId="2"/>
  </si>
  <si>
    <t>SSE</t>
    <phoneticPr fontId="2"/>
  </si>
  <si>
    <t>CF</t>
    <phoneticPr fontId="2"/>
  </si>
  <si>
    <t>SS</t>
    <phoneticPr fontId="2"/>
  </si>
  <si>
    <t>A群</t>
    <rPh sb="1" eb="2">
      <t>グン</t>
    </rPh>
    <phoneticPr fontId="2"/>
  </si>
  <si>
    <t>B群</t>
    <rPh sb="1" eb="2">
      <t>グン</t>
    </rPh>
    <phoneticPr fontId="2"/>
  </si>
  <si>
    <t>A+B群</t>
    <rPh sb="3" eb="4">
      <t>グン</t>
    </rPh>
    <phoneticPr fontId="2"/>
  </si>
  <si>
    <t>平成22年国勢調査人口等基本集計（総務省統計局）</t>
  </si>
  <si>
    <t>総人口</t>
    <rPh sb="0" eb="3">
      <t>ソウジンコウ</t>
    </rPh>
    <phoneticPr fontId="2"/>
  </si>
  <si>
    <t>日本人人口</t>
    <rPh sb="0" eb="3">
      <t>ニホンジン</t>
    </rPh>
    <rPh sb="3" eb="5">
      <t>ジンコウ</t>
    </rPh>
    <phoneticPr fontId="2"/>
  </si>
  <si>
    <t>年齢</t>
    <rPh sb="0" eb="2">
      <t>ネンレイ</t>
    </rPh>
    <phoneticPr fontId="2"/>
  </si>
  <si>
    <t>男</t>
    <phoneticPr fontId="2"/>
  </si>
  <si>
    <t>女</t>
    <phoneticPr fontId="2"/>
  </si>
  <si>
    <t>総数</t>
    <phoneticPr fontId="2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</si>
  <si>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</si>
  <si>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</si>
  <si>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</si>
  <si>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</si>
  <si>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</si>
  <si>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</si>
  <si>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</si>
  <si>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</si>
  <si>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</si>
  <si>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</si>
  <si>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</si>
  <si>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</si>
  <si>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</si>
  <si>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</si>
  <si>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</si>
  <si>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</si>
  <si>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</si>
  <si>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</si>
  <si>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</si>
  <si>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</si>
  <si>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</si>
  <si>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</si>
  <si>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</si>
  <si>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</si>
  <si>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</si>
  <si>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</si>
  <si>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</si>
  <si>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</si>
  <si>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</si>
  <si>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</si>
  <si>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</si>
  <si>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</si>
  <si>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</si>
  <si>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</si>
  <si>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</si>
  <si>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</si>
  <si>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</si>
  <si>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</si>
  <si>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</si>
  <si>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</si>
  <si>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</si>
  <si>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</si>
  <si>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</si>
  <si>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</si>
  <si>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</si>
  <si>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</si>
  <si>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</si>
  <si>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</si>
  <si>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</si>
  <si>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</si>
  <si>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</si>
  <si>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</si>
  <si>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</si>
  <si>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</si>
  <si>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</si>
  <si>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</si>
  <si>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</si>
  <si>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</si>
  <si>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</si>
  <si>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</si>
  <si>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</si>
  <si>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</si>
  <si>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</si>
  <si>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</si>
  <si>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</si>
  <si>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</si>
  <si>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</si>
  <si>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</si>
  <si>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</si>
  <si>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</si>
  <si>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</si>
  <si>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</si>
  <si>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</si>
  <si>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</si>
  <si>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</si>
  <si>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</si>
  <si>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</si>
  <si>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</si>
  <si>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</si>
  <si>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</si>
  <si>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</si>
  <si>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</si>
  <si>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</si>
  <si>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</si>
  <si>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</si>
  <si>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</si>
  <si>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</si>
  <si>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</si>
  <si>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</si>
  <si>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</si>
  <si>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</si>
  <si>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</si>
  <si>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</si>
  <si>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</si>
  <si>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</si>
  <si>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</si>
  <si>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</si>
  <si>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</si>
  <si>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</si>
  <si>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</si>
  <si>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</si>
  <si>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</si>
  <si>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</si>
  <si>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</si>
  <si>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</si>
  <si>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</si>
  <si>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</si>
  <si>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</si>
  <si>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</si>
  <si>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</si>
  <si>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110歳以上</t>
  </si>
  <si>
    <t>不詳</t>
  </si>
  <si>
    <r>
      <rPr>
        <b/>
        <sz val="11"/>
        <rFont val="ＭＳ Ｐゴシック"/>
        <family val="3"/>
        <charset val="128"/>
      </rPr>
      <t>総</t>
    </r>
    <r>
      <rPr>
        <sz val="11"/>
        <rFont val="ＭＳ Ｐゴシック"/>
        <family val="3"/>
        <charset val="128"/>
      </rPr>
      <t>人数</t>
    </r>
    <rPh sb="0" eb="1">
      <t>ソウ</t>
    </rPh>
    <rPh sb="1" eb="3">
      <t>ニンズウ</t>
    </rPh>
    <phoneticPr fontId="2"/>
  </si>
  <si>
    <t>BMI</t>
    <phoneticPr fontId="2"/>
  </si>
  <si>
    <t>Ａ群</t>
    <rPh sb="1" eb="2">
      <t>グン</t>
    </rPh>
    <phoneticPr fontId="2"/>
  </si>
  <si>
    <t>Ｂ群</t>
    <rPh sb="1" eb="2">
      <t>グン</t>
    </rPh>
    <phoneticPr fontId="2"/>
  </si>
  <si>
    <t>Ａ群、Ｂ群の変わりに、異なる時点などとしてもよい。</t>
    <rPh sb="1" eb="2">
      <t>グン</t>
    </rPh>
    <rPh sb="4" eb="5">
      <t>グン</t>
    </rPh>
    <rPh sb="6" eb="7">
      <t>カ</t>
    </rPh>
    <rPh sb="11" eb="12">
      <t>コト</t>
    </rPh>
    <rPh sb="14" eb="16">
      <t>ジテン</t>
    </rPh>
    <phoneticPr fontId="2"/>
  </si>
  <si>
    <t>t値</t>
    <rPh sb="1" eb="2">
      <t>アタイ</t>
    </rPh>
    <phoneticPr fontId="2"/>
  </si>
  <si>
    <t>等分散検定</t>
    <rPh sb="0" eb="3">
      <t>トウブンサン</t>
    </rPh>
    <rPh sb="3" eb="5">
      <t>ケンテイ</t>
    </rPh>
    <phoneticPr fontId="2"/>
  </si>
  <si>
    <t>F値</t>
    <rPh sb="1" eb="2">
      <t>アタイ</t>
    </rPh>
    <phoneticPr fontId="2"/>
  </si>
  <si>
    <t>c</t>
    <phoneticPr fontId="2"/>
  </si>
  <si>
    <t>Studentのt検定</t>
    <rPh sb="9" eb="11">
      <t>ケンテイ</t>
    </rPh>
    <phoneticPr fontId="2"/>
  </si>
  <si>
    <t>Welchのt検定</t>
    <rPh sb="7" eb="9">
      <t>ケンテイ</t>
    </rPh>
    <phoneticPr fontId="2"/>
  </si>
  <si>
    <t>自由度</t>
    <rPh sb="0" eb="3">
      <t>ジユウド</t>
    </rPh>
    <phoneticPr fontId="2"/>
  </si>
  <si>
    <t>平均値</t>
    <rPh sb="0" eb="2">
      <t>ヘイキン</t>
    </rPh>
    <rPh sb="2" eb="3">
      <t>アタイ</t>
    </rPh>
    <phoneticPr fontId="2"/>
  </si>
  <si>
    <t>平均値の差</t>
    <rPh sb="0" eb="2">
      <t>ヘイキン</t>
    </rPh>
    <rPh sb="2" eb="3">
      <t>アタイ</t>
    </rPh>
    <rPh sb="4" eb="5">
      <t>サ</t>
    </rPh>
    <phoneticPr fontId="2"/>
  </si>
  <si>
    <t>水色のセルに必要な数値を入力すると、結果が表示される。赤い文字の箇所には計算式が入っているので変えないこと。</t>
    <rPh sb="0" eb="2">
      <t>ミズイロ</t>
    </rPh>
    <rPh sb="6" eb="8">
      <t>ヒツヨウ</t>
    </rPh>
    <rPh sb="9" eb="11">
      <t>スウチ</t>
    </rPh>
    <rPh sb="12" eb="14">
      <t>ニュウリョク</t>
    </rPh>
    <rPh sb="18" eb="20">
      <t>ケッカ</t>
    </rPh>
    <rPh sb="21" eb="23">
      <t>ヒョウジ</t>
    </rPh>
    <rPh sb="27" eb="28">
      <t>アカ</t>
    </rPh>
    <phoneticPr fontId="2"/>
  </si>
  <si>
    <r>
      <t xml:space="preserve">95%信頼区間
</t>
    </r>
    <r>
      <rPr>
        <sz val="11"/>
        <rFont val="ＭＳ Ｐゴシック"/>
        <family val="3"/>
        <charset val="128"/>
      </rPr>
      <t>（ｔ分布で近似）</t>
    </r>
    <rPh sb="3" eb="5">
      <t>シンライ</t>
    </rPh>
    <rPh sb="5" eb="7">
      <t>クカン</t>
    </rPh>
    <rPh sb="10" eb="12">
      <t>ブンプ</t>
    </rPh>
    <rPh sb="13" eb="15">
      <t>キンジ</t>
    </rPh>
    <phoneticPr fontId="2"/>
  </si>
  <si>
    <r>
      <t xml:space="preserve">95%信頼区間
</t>
    </r>
    <r>
      <rPr>
        <sz val="11"/>
        <rFont val="ＭＳ Ｐゴシック"/>
        <family val="3"/>
        <charset val="128"/>
      </rPr>
      <t>（正規近似）</t>
    </r>
    <rPh sb="3" eb="5">
      <t>シンライ</t>
    </rPh>
    <rPh sb="5" eb="7">
      <t>クカン</t>
    </rPh>
    <rPh sb="9" eb="11">
      <t>セイキ</t>
    </rPh>
    <rPh sb="11" eb="13">
      <t>キンジ</t>
    </rPh>
    <phoneticPr fontId="2"/>
  </si>
  <si>
    <t>人数、平均値、標準偏差から、２群の差の検定を行う</t>
    <rPh sb="0" eb="2">
      <t>ニンズウ</t>
    </rPh>
    <rPh sb="3" eb="6">
      <t>ヘイキンチ</t>
    </rPh>
    <rPh sb="7" eb="11">
      <t>ヒョウジュンヘンサ</t>
    </rPh>
    <rPh sb="15" eb="16">
      <t>グン</t>
    </rPh>
    <rPh sb="17" eb="18">
      <t>サ</t>
    </rPh>
    <rPh sb="19" eb="21">
      <t>ケンテイ</t>
    </rPh>
    <rPh sb="22" eb="23">
      <t>オコナ</t>
    </rPh>
    <phoneticPr fontId="2"/>
  </si>
  <si>
    <t>単純無作為抽出の場合の標準誤差と信頼区間を計算する</t>
    <rPh sb="0" eb="2">
      <t>タンジュン</t>
    </rPh>
    <rPh sb="2" eb="5">
      <t>ムサクイ</t>
    </rPh>
    <rPh sb="5" eb="7">
      <t>チュウシュツ</t>
    </rPh>
    <rPh sb="8" eb="10">
      <t>バアイ</t>
    </rPh>
    <rPh sb="11" eb="15">
      <t>ヒョウジュンゴサ</t>
    </rPh>
    <rPh sb="16" eb="18">
      <t>シンライ</t>
    </rPh>
    <rPh sb="18" eb="20">
      <t>クカン</t>
    </rPh>
    <rPh sb="21" eb="23">
      <t>ケイサン</t>
    </rPh>
    <phoneticPr fontId="2"/>
  </si>
  <si>
    <t>クロス表と傾向性の検定（拡張Mantel検定）</t>
    <rPh sb="3" eb="4">
      <t>ヒョウ</t>
    </rPh>
    <rPh sb="5" eb="8">
      <t>ケイコウセイ</t>
    </rPh>
    <rPh sb="9" eb="11">
      <t>ケンテイ</t>
    </rPh>
    <rPh sb="12" eb="14">
      <t>カクチョウ</t>
    </rPh>
    <rPh sb="20" eb="22">
      <t>ケンテイ</t>
    </rPh>
    <phoneticPr fontId="2"/>
  </si>
  <si>
    <t>使い方：要因２は順序尺度。黄色のセルに必要なデータを入力する。計算式は変えないこと。</t>
    <rPh sb="0" eb="1">
      <t>ツカ</t>
    </rPh>
    <rPh sb="2" eb="3">
      <t>カタ</t>
    </rPh>
    <rPh sb="13" eb="15">
      <t>キイロ</t>
    </rPh>
    <rPh sb="19" eb="21">
      <t>ヒツヨウ</t>
    </rPh>
    <rPh sb="26" eb="28">
      <t>ニュウリョク</t>
    </rPh>
    <rPh sb="31" eb="34">
      <t>ケイサンシキ</t>
    </rPh>
    <rPh sb="35" eb="36">
      <t>カ</t>
    </rPh>
    <phoneticPr fontId="40"/>
  </si>
  <si>
    <t>解釈：P値&lt;0.05ならば有意な増減傾向がある。（括弧内に方向が示される）</t>
    <rPh sb="0" eb="2">
      <t>カイシャク</t>
    </rPh>
    <rPh sb="4" eb="5">
      <t>アタイ</t>
    </rPh>
    <rPh sb="13" eb="15">
      <t>ユウイ</t>
    </rPh>
    <rPh sb="16" eb="18">
      <t>ゾウゲン</t>
    </rPh>
    <rPh sb="18" eb="20">
      <t>ケイコウ</t>
    </rPh>
    <rPh sb="25" eb="27">
      <t>カッコ</t>
    </rPh>
    <rPh sb="27" eb="28">
      <t>ナイ</t>
    </rPh>
    <rPh sb="29" eb="31">
      <t>ホウコウ</t>
    </rPh>
    <rPh sb="32" eb="33">
      <t>シメ</t>
    </rPh>
    <phoneticPr fontId="40"/>
  </si>
  <si>
    <t>○○市における○○率の経年推移</t>
    <rPh sb="2" eb="3">
      <t>シ</t>
    </rPh>
    <rPh sb="9" eb="10">
      <t>リツ</t>
    </rPh>
    <rPh sb="11" eb="13">
      <t>ケイネン</t>
    </rPh>
    <rPh sb="13" eb="15">
      <t>スイイ</t>
    </rPh>
    <phoneticPr fontId="40"/>
  </si>
  <si>
    <t>↓要因２　要因１→</t>
    <rPh sb="1" eb="3">
      <t>ヨウイン</t>
    </rPh>
    <rPh sb="5" eb="7">
      <t>ヨウイン</t>
    </rPh>
    <phoneticPr fontId="2"/>
  </si>
  <si>
    <t>A</t>
    <phoneticPr fontId="2"/>
  </si>
  <si>
    <t>B</t>
    <phoneticPr fontId="2"/>
  </si>
  <si>
    <t>計</t>
    <rPh sb="0" eb="1">
      <t>ケイ</t>
    </rPh>
    <phoneticPr fontId="40"/>
  </si>
  <si>
    <t>rj</t>
    <phoneticPr fontId="40"/>
  </si>
  <si>
    <t>Xj</t>
    <phoneticPr fontId="40"/>
  </si>
  <si>
    <t>njXj</t>
    <phoneticPr fontId="40"/>
  </si>
  <si>
    <r>
      <t>njXj</t>
    </r>
    <r>
      <rPr>
        <vertAlign val="superscript"/>
        <sz val="11"/>
        <color rgb="FFFF0000"/>
        <rFont val="ＭＳ Ｐゴシック"/>
        <family val="3"/>
        <charset val="128"/>
      </rPr>
      <t>2</t>
    </r>
    <phoneticPr fontId="40"/>
  </si>
  <si>
    <t>rjXj</t>
    <phoneticPr fontId="40"/>
  </si>
  <si>
    <t>O</t>
    <phoneticPr fontId="40"/>
  </si>
  <si>
    <t>E</t>
    <phoneticPr fontId="40"/>
  </si>
  <si>
    <t>V</t>
    <phoneticPr fontId="40"/>
  </si>
  <si>
    <t>Z</t>
    <phoneticPr fontId="40"/>
  </si>
  <si>
    <t>P</t>
    <phoneticPr fontId="40"/>
  </si>
  <si>
    <t>カテゴリー1</t>
    <phoneticPr fontId="40"/>
  </si>
  <si>
    <t>カテゴリー2</t>
    <phoneticPr fontId="40"/>
  </si>
  <si>
    <t>カテゴリー3</t>
    <phoneticPr fontId="40"/>
  </si>
  <si>
    <t>不要な行を削除</t>
    <rPh sb="0" eb="2">
      <t>フヨウ</t>
    </rPh>
    <rPh sb="3" eb="4">
      <t>ギョウ</t>
    </rPh>
    <rPh sb="5" eb="7">
      <t>サクジョ</t>
    </rPh>
    <phoneticPr fontId="2"/>
  </si>
  <si>
    <t>←完成した図表の下にこれを（値を）コピペしておくとよい</t>
    <rPh sb="1" eb="3">
      <t>カンセイ</t>
    </rPh>
    <rPh sb="5" eb="6">
      <t>ズ</t>
    </rPh>
    <rPh sb="6" eb="7">
      <t>ヒョウ</t>
    </rPh>
    <rPh sb="8" eb="9">
      <t>シタ</t>
    </rPh>
    <rPh sb="14" eb="15">
      <t>アタイ</t>
    </rPh>
    <phoneticPr fontId="2"/>
  </si>
  <si>
    <t>クロス表とχ２検定</t>
    <rPh sb="3" eb="4">
      <t>ヒョウ</t>
    </rPh>
    <rPh sb="7" eb="9">
      <t>ケンテイ</t>
    </rPh>
    <phoneticPr fontId="2"/>
  </si>
  <si>
    <t>観測度数</t>
    <rPh sb="0" eb="2">
      <t>カンソク</t>
    </rPh>
    <rPh sb="2" eb="4">
      <t>ドスウ</t>
    </rPh>
    <phoneticPr fontId="2"/>
  </si>
  <si>
    <t>Ａ</t>
    <phoneticPr fontId="2"/>
  </si>
  <si>
    <t>不要な列を削除１</t>
    <rPh sb="0" eb="2">
      <t>フヨウ</t>
    </rPh>
    <rPh sb="3" eb="4">
      <t>レツ</t>
    </rPh>
    <rPh sb="5" eb="7">
      <t>サクジョ</t>
    </rPh>
    <phoneticPr fontId="2"/>
  </si>
  <si>
    <t>不要な列を削除２</t>
    <rPh sb="0" eb="2">
      <t>フヨウ</t>
    </rPh>
    <rPh sb="3" eb="4">
      <t>レツ</t>
    </rPh>
    <rPh sb="5" eb="7">
      <t>サクジョ</t>
    </rPh>
    <phoneticPr fontId="2"/>
  </si>
  <si>
    <t>不要な列を削除３</t>
    <rPh sb="0" eb="2">
      <t>フヨウ</t>
    </rPh>
    <rPh sb="3" eb="4">
      <t>レツ</t>
    </rPh>
    <rPh sb="5" eb="7">
      <t>サクジョ</t>
    </rPh>
    <phoneticPr fontId="2"/>
  </si>
  <si>
    <t>Ｂ</t>
    <phoneticPr fontId="2"/>
  </si>
  <si>
    <t>計</t>
    <rPh sb="0" eb="1">
      <t>ケイ</t>
    </rPh>
    <phoneticPr fontId="2"/>
  </si>
  <si>
    <t>不要な行を削除１</t>
    <rPh sb="0" eb="2">
      <t>フヨウ</t>
    </rPh>
    <rPh sb="3" eb="4">
      <t>ギョウ</t>
    </rPh>
    <rPh sb="5" eb="7">
      <t>サクジョ</t>
    </rPh>
    <phoneticPr fontId="2"/>
  </si>
  <si>
    <t>不要な行を削除２</t>
    <rPh sb="0" eb="2">
      <t>フヨウ</t>
    </rPh>
    <rPh sb="3" eb="4">
      <t>ギョウ</t>
    </rPh>
    <rPh sb="5" eb="7">
      <t>サクジョ</t>
    </rPh>
    <phoneticPr fontId="2"/>
  </si>
  <si>
    <t>不要な行を削除３</t>
    <rPh sb="0" eb="2">
      <t>フヨウ</t>
    </rPh>
    <rPh sb="3" eb="4">
      <t>ギョウ</t>
    </rPh>
    <rPh sb="5" eb="7">
      <t>サクジョ</t>
    </rPh>
    <phoneticPr fontId="2"/>
  </si>
  <si>
    <r>
      <t>χ</t>
    </r>
    <r>
      <rPr>
        <vertAlign val="superscript"/>
        <sz val="11"/>
        <rFont val="ＭＳ Ｐゴシック"/>
        <family val="3"/>
        <charset val="128"/>
      </rPr>
      <t xml:space="preserve">２ </t>
    </r>
    <r>
      <rPr>
        <sz val="11"/>
        <rFont val="ＭＳ Ｐゴシック"/>
        <family val="3"/>
        <charset val="128"/>
      </rPr>
      <t>=</t>
    </r>
    <phoneticPr fontId="2"/>
  </si>
  <si>
    <t>←これが大きいほど、偶然とは考えにくくなる</t>
    <rPh sb="4" eb="5">
      <t>オオ</t>
    </rPh>
    <rPh sb="10" eb="12">
      <t>グウゼン</t>
    </rPh>
    <rPh sb="14" eb="15">
      <t>カンガ</t>
    </rPh>
    <phoneticPr fontId="2"/>
  </si>
  <si>
    <t>自由度 =</t>
    <rPh sb="0" eb="3">
      <t>ジユウド</t>
    </rPh>
    <phoneticPr fontId="2"/>
  </si>
  <si>
    <t>←自由に動かせる升目の個数。(列数-1)×(行数-1)</t>
    <rPh sb="1" eb="3">
      <t>ジユウ</t>
    </rPh>
    <rPh sb="4" eb="5">
      <t>ウゴ</t>
    </rPh>
    <rPh sb="8" eb="10">
      <t>マスメ</t>
    </rPh>
    <rPh sb="11" eb="13">
      <t>コスウ</t>
    </rPh>
    <rPh sb="15" eb="16">
      <t>レツ</t>
    </rPh>
    <rPh sb="16" eb="17">
      <t>スウ</t>
    </rPh>
    <rPh sb="22" eb="24">
      <t>ギョウスウ</t>
    </rPh>
    <phoneticPr fontId="2"/>
  </si>
  <si>
    <t>P =</t>
    <phoneticPr fontId="2"/>
  </si>
  <si>
    <t>←偶然でこれほどの関連が生じる確率</t>
    <rPh sb="1" eb="3">
      <t>グウゼン</t>
    </rPh>
    <rPh sb="9" eb="11">
      <t>カンレン</t>
    </rPh>
    <rPh sb="12" eb="13">
      <t>ショウ</t>
    </rPh>
    <rPh sb="15" eb="17">
      <t>カクリツ</t>
    </rPh>
    <phoneticPr fontId="2"/>
  </si>
  <si>
    <t>期待度数</t>
    <rPh sb="0" eb="2">
      <t>キタイ</t>
    </rPh>
    <rPh sb="2" eb="4">
      <t>ドスウ</t>
    </rPh>
    <phoneticPr fontId="2"/>
  </si>
  <si>
    <t>要因１</t>
    <rPh sb="0" eb="2">
      <t>ヨウイン</t>
    </rPh>
    <phoneticPr fontId="2"/>
  </si>
  <si>
    <r>
      <t>（観測度数－期待度数）</t>
    </r>
    <r>
      <rPr>
        <b/>
        <vertAlign val="superscript"/>
        <sz val="16"/>
        <rFont val="ＭＳ Ｐゴシック"/>
        <family val="3"/>
        <charset val="128"/>
      </rPr>
      <t>２</t>
    </r>
    <r>
      <rPr>
        <b/>
        <sz val="16"/>
        <rFont val="ＭＳ Ｐゴシック"/>
        <family val="3"/>
        <charset val="128"/>
      </rPr>
      <t>÷期待度数</t>
    </r>
    <rPh sb="1" eb="3">
      <t>カンソク</t>
    </rPh>
    <rPh sb="3" eb="5">
      <t>ドスウ</t>
    </rPh>
    <rPh sb="6" eb="8">
      <t>キタイ</t>
    </rPh>
    <rPh sb="8" eb="10">
      <t>ドスウ</t>
    </rPh>
    <rPh sb="13" eb="15">
      <t>キタイ</t>
    </rPh>
    <rPh sb="15" eb="17">
      <t>ドスウ</t>
    </rPh>
    <phoneticPr fontId="2"/>
  </si>
  <si>
    <r>
      <t>イエーツ補正χ</t>
    </r>
    <r>
      <rPr>
        <vertAlign val="superscript"/>
        <sz val="11"/>
        <rFont val="ＭＳ Ｐゴシック"/>
        <family val="3"/>
        <charset val="128"/>
      </rPr>
      <t xml:space="preserve">２ </t>
    </r>
    <r>
      <rPr>
        <sz val="11"/>
        <rFont val="ＭＳ Ｐゴシック"/>
        <family val="3"/>
        <charset val="128"/>
      </rPr>
      <t>=</t>
    </r>
    <rPh sb="4" eb="6">
      <t>ホセイ</t>
    </rPh>
    <phoneticPr fontId="2"/>
  </si>
  <si>
    <t>対応のある２値データの検定（マクネマー検定）</t>
    <rPh sb="0" eb="2">
      <t>タイオウ</t>
    </rPh>
    <rPh sb="6" eb="7">
      <t>チ</t>
    </rPh>
    <rPh sb="11" eb="13">
      <t>ケンテイ</t>
    </rPh>
    <rPh sb="19" eb="21">
      <t>ケンテイ</t>
    </rPh>
    <phoneticPr fontId="2"/>
  </si>
  <si>
    <t>観測度数（あり・なし等の組合せ数を入力する）</t>
    <rPh sb="0" eb="2">
      <t>カンソク</t>
    </rPh>
    <rPh sb="2" eb="4">
      <t>ドスウ</t>
    </rPh>
    <rPh sb="10" eb="11">
      <t>トウ</t>
    </rPh>
    <rPh sb="12" eb="14">
      <t>クミアワ</t>
    </rPh>
    <rPh sb="15" eb="16">
      <t>スウ</t>
    </rPh>
    <rPh sb="17" eb="19">
      <t>ニュウリョク</t>
    </rPh>
    <phoneticPr fontId="2"/>
  </si>
  <si>
    <t>↓値１　値２→</t>
    <rPh sb="1" eb="2">
      <t>アタイ</t>
    </rPh>
    <rPh sb="4" eb="5">
      <t>アタイ</t>
    </rPh>
    <phoneticPr fontId="2"/>
  </si>
  <si>
    <t>あり</t>
    <phoneticPr fontId="2"/>
  </si>
  <si>
    <t>なし</t>
    <phoneticPr fontId="2"/>
  </si>
  <si>
    <t>M=</t>
    <phoneticPr fontId="2"/>
  </si>
  <si>
    <t>←自由に動かせる升目の個数。</t>
    <rPh sb="1" eb="3">
      <t>ジユウ</t>
    </rPh>
    <rPh sb="4" eb="5">
      <t>ウゴ</t>
    </rPh>
    <rPh sb="8" eb="10">
      <t>マスメ</t>
    </rPh>
    <rPh sb="11" eb="13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</si>
</sst>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0.000"/>
    <numFmt numFmtId="179" formatCode="0.0000"/>
    <numFmt numFmtId="180" formatCode="#,##0.000000;[Red]\-#,##0.00000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vertAlign val="superscript"/>
      <sz val="1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dashed">
        <color indexed="64"/>
      </left>
      <right/>
      <top style="thin">
        <color indexed="64"/>
      </top>
      <bottom/>
      <diagonal style="dashed">
        <color indexed="64"/>
      </diagonal>
    </border>
    <border diagonalDown="1">
      <left style="dashed">
        <color indexed="64"/>
      </left>
      <right style="dashed">
        <color indexed="64"/>
      </right>
      <top style="thin">
        <color indexed="64"/>
      </top>
      <bottom/>
      <diagonal style="dashed">
        <color indexed="64"/>
      </diagonal>
    </border>
    <border diagonalDown="1">
      <left style="dashed">
        <color indexed="64"/>
      </left>
      <right style="thin">
        <color indexed="64"/>
      </right>
      <top style="thin">
        <color indexed="64"/>
      </top>
      <bottom/>
      <diagonal style="dashed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 diagonalDown="1">
      <left style="dashed">
        <color indexed="64"/>
      </left>
      <right style="medium">
        <color indexed="64"/>
      </right>
      <top style="thin">
        <color indexed="64"/>
      </top>
      <bottom/>
      <diagonal style="dashed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 diagonalDown="1"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dashed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 diagonalDown="1"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 diagonalDown="1"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CC"/>
      </left>
      <right style="medium">
        <color rgb="FF0000CC"/>
      </right>
      <top/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23" fillId="4" borderId="0" applyNumberFormat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24" borderId="0" xfId="0" applyFill="1" applyBorder="1">
      <alignment vertical="center"/>
    </xf>
    <xf numFmtId="0" fontId="0" fillId="24" borderId="1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1" fillId="25" borderId="0" xfId="0" applyFont="1" applyFill="1" applyBorder="1">
      <alignment vertical="center"/>
    </xf>
    <xf numFmtId="0" fontId="1" fillId="0" borderId="0" xfId="0" applyFont="1" applyBorder="1">
      <alignment vertical="center"/>
    </xf>
    <xf numFmtId="2" fontId="1" fillId="25" borderId="0" xfId="28" applyNumberFormat="1" applyFont="1" applyFill="1" applyBorder="1">
      <alignment vertical="center"/>
    </xf>
    <xf numFmtId="2" fontId="3" fillId="24" borderId="0" xfId="28" applyNumberFormat="1" applyFont="1" applyFill="1" applyBorder="1">
      <alignment vertical="center"/>
    </xf>
    <xf numFmtId="2" fontId="1" fillId="0" borderId="0" xfId="0" applyNumberFormat="1" applyFont="1" applyBorder="1">
      <alignment vertical="center"/>
    </xf>
    <xf numFmtId="2" fontId="3" fillId="24" borderId="10" xfId="28" applyNumberFormat="1" applyFont="1" applyFill="1" applyBorder="1">
      <alignment vertical="center"/>
    </xf>
    <xf numFmtId="0" fontId="1" fillId="0" borderId="0" xfId="0" applyFont="1">
      <alignment vertical="center"/>
    </xf>
    <xf numFmtId="38" fontId="1" fillId="0" borderId="0" xfId="0" applyNumberFormat="1" applyFont="1" applyBorder="1">
      <alignment vertical="center"/>
    </xf>
    <xf numFmtId="176" fontId="1" fillId="0" borderId="0" xfId="28" applyNumberFormat="1" applyFont="1" applyBorder="1">
      <alignment vertical="center"/>
    </xf>
    <xf numFmtId="0" fontId="1" fillId="0" borderId="12" xfId="0" applyFont="1" applyBorder="1">
      <alignment vertical="center"/>
    </xf>
    <xf numFmtId="0" fontId="0" fillId="0" borderId="12" xfId="0" applyBorder="1">
      <alignment vertical="center"/>
    </xf>
    <xf numFmtId="0" fontId="1" fillId="0" borderId="10" xfId="0" applyFont="1" applyBorder="1">
      <alignment vertical="center"/>
    </xf>
    <xf numFmtId="38" fontId="1" fillId="0" borderId="10" xfId="34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176" fontId="1" fillId="0" borderId="10" xfId="28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/>
    </xf>
    <xf numFmtId="38" fontId="1" fillId="0" borderId="0" xfId="34" applyFont="1" applyBorder="1">
      <alignment vertical="center"/>
    </xf>
    <xf numFmtId="0" fontId="1" fillId="0" borderId="13" xfId="0" applyFont="1" applyBorder="1">
      <alignment vertical="center"/>
    </xf>
    <xf numFmtId="38" fontId="1" fillId="0" borderId="13" xfId="34" applyFont="1" applyBorder="1">
      <alignment vertical="center"/>
    </xf>
    <xf numFmtId="176" fontId="1" fillId="0" borderId="13" xfId="28" applyNumberFormat="1" applyFont="1" applyBorder="1">
      <alignment vertical="center"/>
    </xf>
    <xf numFmtId="38" fontId="1" fillId="0" borderId="10" xfId="34" applyFont="1" applyBorder="1">
      <alignment vertical="center"/>
    </xf>
    <xf numFmtId="176" fontId="1" fillId="0" borderId="10" xfId="28" applyNumberFormat="1" applyFont="1" applyBorder="1">
      <alignment vertical="center"/>
    </xf>
    <xf numFmtId="176" fontId="3" fillId="0" borderId="0" xfId="28" applyNumberFormat="1" applyFont="1" applyBorder="1">
      <alignment vertical="center"/>
    </xf>
    <xf numFmtId="176" fontId="3" fillId="0" borderId="13" xfId="28" applyNumberFormat="1" applyFont="1" applyBorder="1">
      <alignment vertical="center"/>
    </xf>
    <xf numFmtId="176" fontId="3" fillId="0" borderId="10" xfId="28" applyNumberFormat="1" applyFont="1" applyBorder="1">
      <alignment vertical="center"/>
    </xf>
    <xf numFmtId="38" fontId="3" fillId="0" borderId="0" xfId="34" applyFont="1" applyBorder="1">
      <alignment vertical="center"/>
    </xf>
    <xf numFmtId="38" fontId="3" fillId="0" borderId="13" xfId="34" applyFont="1" applyBorder="1">
      <alignment vertical="center"/>
    </xf>
    <xf numFmtId="38" fontId="3" fillId="0" borderId="10" xfId="34" applyFont="1" applyBorder="1">
      <alignment vertical="center"/>
    </xf>
    <xf numFmtId="38" fontId="1" fillId="25" borderId="0" xfId="34" applyFont="1" applyFill="1" applyBorder="1">
      <alignment vertical="center"/>
    </xf>
    <xf numFmtId="0" fontId="3" fillId="0" borderId="13" xfId="0" applyFont="1" applyBorder="1">
      <alignment vertical="center"/>
    </xf>
    <xf numFmtId="38" fontId="3" fillId="0" borderId="13" xfId="34" applyFont="1" applyFill="1" applyBorder="1">
      <alignment vertical="center"/>
    </xf>
    <xf numFmtId="0" fontId="3" fillId="0" borderId="13" xfId="0" applyFont="1" applyFill="1" applyBorder="1">
      <alignment vertical="center"/>
    </xf>
    <xf numFmtId="38" fontId="3" fillId="0" borderId="10" xfId="0" applyNumberFormat="1" applyFont="1" applyBorder="1">
      <alignment vertical="center"/>
    </xf>
    <xf numFmtId="38" fontId="3" fillId="26" borderId="10" xfId="34" applyFont="1" applyFill="1" applyBorder="1">
      <alignment vertical="center"/>
    </xf>
    <xf numFmtId="38" fontId="3" fillId="26" borderId="13" xfId="34" applyFont="1" applyFill="1" applyBorder="1">
      <alignment vertical="center"/>
    </xf>
    <xf numFmtId="38" fontId="0" fillId="0" borderId="0" xfId="34" applyFont="1">
      <alignment vertical="center"/>
    </xf>
    <xf numFmtId="38" fontId="1" fillId="0" borderId="0" xfId="34">
      <alignment vertical="center"/>
    </xf>
    <xf numFmtId="0" fontId="1" fillId="0" borderId="10" xfId="0" applyFont="1" applyFill="1" applyBorder="1" applyAlignment="1">
      <alignment horizontal="right" vertical="center" wrapText="1"/>
    </xf>
    <xf numFmtId="2" fontId="3" fillId="0" borderId="0" xfId="0" applyNumberFormat="1" applyFont="1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1" fillId="25" borderId="0" xfId="28" applyNumberFormat="1" applyFont="1" applyFill="1" applyBorder="1">
      <alignment vertical="center"/>
    </xf>
    <xf numFmtId="2" fontId="3" fillId="25" borderId="0" xfId="28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4" borderId="0" xfId="28" applyNumberFormat="1" applyFont="1" applyFill="1" applyBorder="1" applyAlignment="1">
      <alignment horizontal="right" vertical="center"/>
    </xf>
    <xf numFmtId="2" fontId="3" fillId="24" borderId="0" xfId="28" applyNumberFormat="1" applyFont="1" applyFill="1" applyBorder="1" applyAlignment="1">
      <alignment horizontal="right" vertical="center"/>
    </xf>
    <xf numFmtId="0" fontId="1" fillId="0" borderId="0" xfId="0" applyNumberFormat="1" applyFont="1" applyBorder="1">
      <alignment vertical="center"/>
    </xf>
    <xf numFmtId="0" fontId="0" fillId="0" borderId="0" xfId="0" applyNumberFormat="1">
      <alignment vertical="center"/>
    </xf>
    <xf numFmtId="0" fontId="3" fillId="24" borderId="10" xfId="28" applyNumberFormat="1" applyFont="1" applyFill="1" applyBorder="1" applyAlignment="1">
      <alignment horizontal="right" vertical="center"/>
    </xf>
    <xf numFmtId="2" fontId="3" fillId="24" borderId="10" xfId="28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28" xfId="0" applyBorder="1" applyAlignment="1">
      <alignment vertical="center" shrinkToFit="1"/>
    </xf>
    <xf numFmtId="0" fontId="0" fillId="25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5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vertical="center" shrinkToFit="1"/>
    </xf>
    <xf numFmtId="2" fontId="0" fillId="0" borderId="3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vertical="center" shrinkToFit="1"/>
    </xf>
    <xf numFmtId="2" fontId="0" fillId="0" borderId="43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vertical="center" shrinkToFit="1"/>
    </xf>
    <xf numFmtId="2" fontId="0" fillId="0" borderId="50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8" fontId="0" fillId="0" borderId="53" xfId="0" applyNumberFormat="1" applyBorder="1" applyAlignment="1">
      <alignment horizontal="center" vertical="center"/>
    </xf>
    <xf numFmtId="178" fontId="0" fillId="0" borderId="54" xfId="0" applyNumberFormat="1" applyBorder="1" applyAlignment="1">
      <alignment horizontal="center" vertical="center"/>
    </xf>
    <xf numFmtId="0" fontId="0" fillId="0" borderId="55" xfId="0" applyBorder="1" applyAlignment="1">
      <alignment vertical="center" shrinkToFit="1"/>
    </xf>
    <xf numFmtId="2" fontId="0" fillId="0" borderId="56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0" fontId="0" fillId="0" borderId="64" xfId="0" applyBorder="1" applyAlignment="1">
      <alignment vertical="center" shrinkToFit="1"/>
    </xf>
    <xf numFmtId="2" fontId="0" fillId="0" borderId="65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8" fontId="0" fillId="0" borderId="68" xfId="0" applyNumberFormat="1" applyBorder="1" applyAlignment="1">
      <alignment horizontal="center" vertical="center"/>
    </xf>
    <xf numFmtId="178" fontId="0" fillId="0" borderId="6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7" fontId="1" fillId="25" borderId="12" xfId="28" applyNumberFormat="1" applyFont="1" applyFill="1" applyBorder="1">
      <alignment vertical="center"/>
    </xf>
    <xf numFmtId="2" fontId="3" fillId="0" borderId="12" xfId="28" applyNumberFormat="1" applyFont="1" applyFill="1" applyBorder="1">
      <alignment vertical="center"/>
    </xf>
    <xf numFmtId="2" fontId="3" fillId="0" borderId="12" xfId="0" applyNumberFormat="1" applyFont="1" applyBorder="1">
      <alignment vertical="center"/>
    </xf>
    <xf numFmtId="178" fontId="3" fillId="26" borderId="12" xfId="0" applyNumberFormat="1" applyFont="1" applyFill="1" applyBorder="1">
      <alignment vertical="center"/>
    </xf>
    <xf numFmtId="176" fontId="0" fillId="25" borderId="0" xfId="28" applyNumberFormat="1" applyFont="1" applyFill="1" applyBorder="1">
      <alignment vertical="center"/>
    </xf>
    <xf numFmtId="176" fontId="3" fillId="0" borderId="0" xfId="28" applyNumberFormat="1" applyFont="1" applyFill="1" applyBorder="1">
      <alignment vertical="center"/>
    </xf>
    <xf numFmtId="178" fontId="3" fillId="26" borderId="0" xfId="0" applyNumberFormat="1" applyFont="1" applyFill="1" applyBorder="1">
      <alignment vertical="center"/>
    </xf>
    <xf numFmtId="176" fontId="3" fillId="24" borderId="0" xfId="28" applyNumberFormat="1" applyFont="1" applyFill="1" applyBorder="1">
      <alignment vertical="center"/>
    </xf>
    <xf numFmtId="0" fontId="0" fillId="25" borderId="0" xfId="28" applyNumberFormat="1" applyFont="1" applyFill="1" applyBorder="1">
      <alignment vertical="center"/>
    </xf>
    <xf numFmtId="176" fontId="0" fillId="25" borderId="0" xfId="28" applyNumberFormat="1" applyFont="1" applyFill="1" applyBorder="1" applyAlignment="1">
      <alignment horizontal="right" vertical="center"/>
    </xf>
    <xf numFmtId="177" fontId="1" fillId="25" borderId="0" xfId="28" applyNumberFormat="1" applyFont="1" applyFill="1" applyBorder="1">
      <alignment vertic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/>
    </xf>
    <xf numFmtId="2" fontId="1" fillId="25" borderId="0" xfId="28" applyNumberFormat="1" applyFont="1" applyFill="1" applyBorder="1" applyAlignment="1">
      <alignment horizontal="right" vertical="center"/>
    </xf>
    <xf numFmtId="49" fontId="28" fillId="0" borderId="0" xfId="44" applyNumberFormat="1" applyFont="1" applyAlignment="1">
      <alignment horizontal="left"/>
    </xf>
    <xf numFmtId="49" fontId="29" fillId="0" borderId="0" xfId="44" applyNumberFormat="1" applyFont="1" applyAlignment="1">
      <alignment horizontal="center"/>
    </xf>
    <xf numFmtId="0" fontId="29" fillId="0" borderId="0" xfId="44" applyFont="1"/>
    <xf numFmtId="0" fontId="27" fillId="0" borderId="0" xfId="0" applyFont="1">
      <alignment vertical="center"/>
    </xf>
    <xf numFmtId="49" fontId="29" fillId="27" borderId="70" xfId="44" applyNumberFormat="1" applyFont="1" applyFill="1" applyBorder="1" applyAlignment="1">
      <alignment horizontal="center"/>
    </xf>
    <xf numFmtId="49" fontId="28" fillId="28" borderId="70" xfId="44" applyNumberFormat="1" applyFont="1" applyFill="1" applyBorder="1" applyAlignment="1">
      <alignment horizontal="center"/>
    </xf>
    <xf numFmtId="0" fontId="28" fillId="28" borderId="70" xfId="44" applyFont="1" applyFill="1" applyBorder="1" applyAlignment="1">
      <alignment wrapText="1"/>
    </xf>
    <xf numFmtId="0" fontId="28" fillId="28" borderId="71" xfId="44" applyFont="1" applyFill="1" applyBorder="1" applyAlignment="1">
      <alignment wrapText="1"/>
    </xf>
    <xf numFmtId="0" fontId="29" fillId="0" borderId="0" xfId="44" applyFont="1" applyAlignment="1">
      <alignment wrapText="1"/>
    </xf>
    <xf numFmtId="0" fontId="29" fillId="0" borderId="70" xfId="0" applyFont="1" applyBorder="1" applyAlignment="1">
      <alignment horizontal="center" vertical="center"/>
    </xf>
    <xf numFmtId="38" fontId="27" fillId="29" borderId="70" xfId="0" applyNumberFormat="1" applyFont="1" applyFill="1" applyBorder="1">
      <alignment vertical="center"/>
    </xf>
    <xf numFmtId="38" fontId="29" fillId="29" borderId="70" xfId="34" applyFont="1" applyFill="1" applyBorder="1" applyAlignment="1">
      <alignment vertical="center"/>
    </xf>
    <xf numFmtId="176" fontId="29" fillId="0" borderId="72" xfId="28" applyNumberFormat="1" applyFont="1" applyBorder="1" applyAlignment="1"/>
    <xf numFmtId="38" fontId="29" fillId="30" borderId="82" xfId="35" applyFont="1" applyFill="1" applyBorder="1"/>
    <xf numFmtId="38" fontId="29" fillId="0" borderId="73" xfId="35" applyNumberFormat="1" applyFont="1" applyFill="1" applyBorder="1"/>
    <xf numFmtId="38" fontId="29" fillId="0" borderId="70" xfId="35" applyFont="1" applyFill="1" applyBorder="1"/>
    <xf numFmtId="180" fontId="29" fillId="0" borderId="0" xfId="35" applyNumberFormat="1" applyFont="1"/>
    <xf numFmtId="38" fontId="29" fillId="30" borderId="83" xfId="35" applyFont="1" applyFill="1" applyBorder="1"/>
    <xf numFmtId="38" fontId="29" fillId="30" borderId="84" xfId="35" applyFont="1" applyFill="1" applyBorder="1"/>
    <xf numFmtId="38" fontId="29" fillId="0" borderId="71" xfId="35" applyFont="1" applyFill="1" applyBorder="1"/>
    <xf numFmtId="49" fontId="29" fillId="0" borderId="70" xfId="44" applyNumberFormat="1" applyFont="1" applyBorder="1" applyAlignment="1">
      <alignment horizontal="center"/>
    </xf>
    <xf numFmtId="38" fontId="29" fillId="0" borderId="70" xfId="35" applyFont="1" applyBorder="1" applyAlignment="1">
      <alignment horizontal="right"/>
    </xf>
    <xf numFmtId="176" fontId="29" fillId="0" borderId="70" xfId="28" applyNumberFormat="1" applyFont="1" applyBorder="1" applyAlignment="1"/>
    <xf numFmtId="38" fontId="29" fillId="0" borderId="74" xfId="35" applyFont="1" applyBorder="1"/>
    <xf numFmtId="38" fontId="29" fillId="0" borderId="72" xfId="35" applyNumberFormat="1" applyFont="1" applyBorder="1"/>
    <xf numFmtId="38" fontId="29" fillId="30" borderId="85" xfId="35" applyFont="1" applyFill="1" applyBorder="1"/>
    <xf numFmtId="2" fontId="28" fillId="31" borderId="86" xfId="44" applyNumberFormat="1" applyFont="1" applyFill="1" applyBorder="1"/>
    <xf numFmtId="2" fontId="27" fillId="0" borderId="0" xfId="0" applyNumberFormat="1" applyFont="1">
      <alignment vertical="center"/>
    </xf>
    <xf numFmtId="178" fontId="27" fillId="0" borderId="0" xfId="0" applyNumberFormat="1" applyFont="1">
      <alignment vertical="center"/>
    </xf>
    <xf numFmtId="0" fontId="27" fillId="32" borderId="87" xfId="0" applyFont="1" applyFill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2" fontId="33" fillId="0" borderId="0" xfId="0" applyNumberFormat="1" applyFont="1">
      <alignment vertical="center"/>
    </xf>
    <xf numFmtId="0" fontId="33" fillId="0" borderId="0" xfId="0" applyFont="1">
      <alignment vertical="center"/>
    </xf>
    <xf numFmtId="38" fontId="29" fillId="30" borderId="88" xfId="35" applyFont="1" applyFill="1" applyBorder="1"/>
    <xf numFmtId="38" fontId="29" fillId="30" borderId="89" xfId="35" applyFont="1" applyFill="1" applyBorder="1"/>
    <xf numFmtId="0" fontId="27" fillId="0" borderId="0" xfId="45">
      <alignment vertical="center"/>
    </xf>
    <xf numFmtId="0" fontId="34" fillId="0" borderId="0" xfId="45" applyFont="1">
      <alignment vertical="center"/>
    </xf>
    <xf numFmtId="0" fontId="27" fillId="33" borderId="0" xfId="45" applyFill="1">
      <alignment vertical="center"/>
    </xf>
    <xf numFmtId="0" fontId="34" fillId="32" borderId="0" xfId="45" applyFont="1" applyFill="1">
      <alignment vertical="center"/>
    </xf>
    <xf numFmtId="0" fontId="35" fillId="0" borderId="0" xfId="0" applyFont="1">
      <alignment vertical="center"/>
    </xf>
    <xf numFmtId="0" fontId="0" fillId="0" borderId="10" xfId="0" applyFont="1" applyFill="1" applyBorder="1" applyAlignment="1">
      <alignment horizontal="right" vertical="center" shrinkToFit="1"/>
    </xf>
    <xf numFmtId="0" fontId="0" fillId="0" borderId="10" xfId="0" applyBorder="1" applyAlignment="1">
      <alignment vertical="center" shrinkToFit="1"/>
    </xf>
    <xf numFmtId="0" fontId="1" fillId="0" borderId="10" xfId="0" applyFont="1" applyFill="1" applyBorder="1" applyAlignment="1">
      <alignment horizontal="right" vertical="center" shrinkToFit="1"/>
    </xf>
    <xf numFmtId="0" fontId="0" fillId="0" borderId="12" xfId="0" applyBorder="1" applyAlignment="1">
      <alignment vertical="center"/>
    </xf>
    <xf numFmtId="0" fontId="1" fillId="25" borderId="12" xfId="28" applyNumberFormat="1" applyFont="1" applyFill="1" applyBorder="1" applyAlignment="1">
      <alignment vertical="center"/>
    </xf>
    <xf numFmtId="0" fontId="1" fillId="0" borderId="12" xfId="28" applyNumberFormat="1" applyFont="1" applyFill="1" applyBorder="1" applyAlignment="1">
      <alignment vertical="center"/>
    </xf>
    <xf numFmtId="2" fontId="35" fillId="0" borderId="12" xfId="28" applyNumberFormat="1" applyFont="1" applyFill="1" applyBorder="1" applyAlignment="1">
      <alignment vertical="center"/>
    </xf>
    <xf numFmtId="0" fontId="35" fillId="0" borderId="12" xfId="0" applyNumberFormat="1" applyFont="1" applyFill="1" applyBorder="1" applyAlignment="1">
      <alignment vertical="center"/>
    </xf>
    <xf numFmtId="178" fontId="35" fillId="0" borderId="12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0" fontId="35" fillId="0" borderId="12" xfId="28" applyNumberFormat="1" applyFont="1" applyFill="1" applyBorder="1" applyAlignment="1">
      <alignment vertical="center"/>
    </xf>
    <xf numFmtId="178" fontId="35" fillId="0" borderId="12" xfId="28" applyNumberFormat="1" applyFont="1" applyFill="1" applyBorder="1" applyAlignment="1">
      <alignment vertical="center"/>
    </xf>
    <xf numFmtId="2" fontId="35" fillId="32" borderId="0" xfId="0" applyNumberFormat="1" applyFont="1" applyFill="1">
      <alignment vertical="center"/>
    </xf>
    <xf numFmtId="179" fontId="35" fillId="32" borderId="0" xfId="0" applyNumberFormat="1" applyFont="1" applyFill="1" applyBorder="1" applyAlignment="1">
      <alignment vertical="center"/>
    </xf>
    <xf numFmtId="179" fontId="35" fillId="32" borderId="0" xfId="0" applyNumberFormat="1" applyFont="1" applyFill="1" applyAlignment="1">
      <alignment vertical="center"/>
    </xf>
    <xf numFmtId="179" fontId="35" fillId="32" borderId="12" xfId="28" applyNumberFormat="1" applyFont="1" applyFill="1" applyBorder="1" applyAlignment="1">
      <alignment vertic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0" fillId="0" borderId="0" xfId="0" applyAlignment="1"/>
    <xf numFmtId="0" fontId="39" fillId="0" borderId="0" xfId="0" applyFont="1" applyAlignment="1"/>
    <xf numFmtId="0" fontId="41" fillId="0" borderId="0" xfId="0" applyFont="1" applyAlignment="1"/>
    <xf numFmtId="0" fontId="0" fillId="0" borderId="90" xfId="0" applyBorder="1">
      <alignment vertical="center"/>
    </xf>
    <xf numFmtId="0" fontId="38" fillId="0" borderId="91" xfId="0" applyFont="1" applyBorder="1" applyAlignment="1">
      <alignment horizontal="center"/>
    </xf>
    <xf numFmtId="0" fontId="38" fillId="0" borderId="7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shrinkToFit="1"/>
    </xf>
    <xf numFmtId="0" fontId="42" fillId="0" borderId="0" xfId="0" applyFont="1" applyAlignment="1">
      <alignment horizontal="center" shrinkToFit="1"/>
    </xf>
    <xf numFmtId="0" fontId="35" fillId="0" borderId="0" xfId="0" applyFont="1" applyAlignment="1"/>
    <xf numFmtId="0" fontId="38" fillId="0" borderId="92" xfId="0" applyFont="1" applyBorder="1" applyAlignment="1">
      <alignment horizontal="left" shrinkToFit="1"/>
    </xf>
    <xf numFmtId="0" fontId="38" fillId="34" borderId="93" xfId="0" applyFont="1" applyFill="1" applyBorder="1" applyAlignment="1">
      <alignment horizontal="right"/>
    </xf>
    <xf numFmtId="0" fontId="38" fillId="34" borderId="94" xfId="0" applyFont="1" applyFill="1" applyBorder="1" applyAlignment="1">
      <alignment horizontal="right"/>
    </xf>
    <xf numFmtId="9" fontId="35" fillId="0" borderId="0" xfId="0" applyNumberFormat="1" applyFont="1" applyAlignment="1"/>
    <xf numFmtId="0" fontId="38" fillId="0" borderId="95" xfId="0" applyFont="1" applyBorder="1" applyAlignment="1">
      <alignment horizontal="left" shrinkToFit="1"/>
    </xf>
    <xf numFmtId="0" fontId="38" fillId="34" borderId="96" xfId="0" applyFont="1" applyFill="1" applyBorder="1" applyAlignment="1">
      <alignment horizontal="right"/>
    </xf>
    <xf numFmtId="0" fontId="38" fillId="34" borderId="97" xfId="0" applyFont="1" applyFill="1" applyBorder="1" applyAlignment="1">
      <alignment horizontal="right"/>
    </xf>
    <xf numFmtId="9" fontId="38" fillId="0" borderId="0" xfId="0" applyNumberFormat="1" applyFont="1" applyAlignment="1"/>
    <xf numFmtId="0" fontId="35" fillId="0" borderId="95" xfId="0" applyFont="1" applyBorder="1" applyAlignment="1">
      <alignment horizontal="left" shrinkToFit="1"/>
    </xf>
    <xf numFmtId="0" fontId="35" fillId="0" borderId="98" xfId="0" applyFont="1" applyBorder="1" applyAlignment="1">
      <alignment horizontal="left" shrinkToFit="1"/>
    </xf>
    <xf numFmtId="0" fontId="38" fillId="34" borderId="99" xfId="0" applyFont="1" applyFill="1" applyBorder="1" applyAlignment="1">
      <alignment horizontal="right"/>
    </xf>
    <xf numFmtId="0" fontId="38" fillId="34" borderId="100" xfId="0" applyFont="1" applyFill="1" applyBorder="1" applyAlignment="1">
      <alignment horizontal="right"/>
    </xf>
    <xf numFmtId="0" fontId="35" fillId="0" borderId="90" xfId="0" applyFont="1" applyBorder="1" applyAlignment="1"/>
    <xf numFmtId="0" fontId="35" fillId="0" borderId="91" xfId="0" applyFont="1" applyBorder="1" applyAlignment="1"/>
    <xf numFmtId="0" fontId="35" fillId="0" borderId="76" xfId="0" applyFont="1" applyBorder="1" applyAlignment="1"/>
    <xf numFmtId="0" fontId="39" fillId="0" borderId="0" xfId="0" applyFont="1" applyAlignment="1">
      <alignment horizontal="left"/>
    </xf>
    <xf numFmtId="0" fontId="24" fillId="0" borderId="0" xfId="0" applyFont="1">
      <alignment vertical="center"/>
    </xf>
    <xf numFmtId="0" fontId="44" fillId="0" borderId="0" xfId="0" applyFont="1">
      <alignment vertical="center"/>
    </xf>
    <xf numFmtId="0" fontId="0" fillId="0" borderId="93" xfId="0" applyBorder="1">
      <alignment vertical="center"/>
    </xf>
    <xf numFmtId="0" fontId="0" fillId="0" borderId="93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94" xfId="0" applyBorder="1">
      <alignment vertical="center"/>
    </xf>
    <xf numFmtId="0" fontId="0" fillId="26" borderId="93" xfId="0" applyFill="1" applyBorder="1">
      <alignment vertical="center"/>
    </xf>
    <xf numFmtId="0" fontId="0" fillId="26" borderId="12" xfId="0" applyFill="1" applyBorder="1">
      <alignment vertical="center"/>
    </xf>
    <xf numFmtId="0" fontId="0" fillId="26" borderId="94" xfId="0" applyFill="1" applyBorder="1">
      <alignment vertical="center"/>
    </xf>
    <xf numFmtId="0" fontId="3" fillId="0" borderId="96" xfId="0" applyFont="1" applyBorder="1" applyAlignment="1">
      <alignment vertical="center" wrapText="1"/>
    </xf>
    <xf numFmtId="0" fontId="0" fillId="26" borderId="96" xfId="0" applyFill="1" applyBorder="1">
      <alignment vertical="center"/>
    </xf>
    <xf numFmtId="0" fontId="0" fillId="26" borderId="0" xfId="0" applyFill="1">
      <alignment vertical="center"/>
    </xf>
    <xf numFmtId="0" fontId="0" fillId="26" borderId="97" xfId="0" applyFill="1" applyBorder="1">
      <alignment vertical="center"/>
    </xf>
    <xf numFmtId="0" fontId="0" fillId="0" borderId="97" xfId="0" applyBorder="1">
      <alignment vertical="center"/>
    </xf>
    <xf numFmtId="0" fontId="0" fillId="0" borderId="99" xfId="0" applyBorder="1" applyAlignment="1">
      <alignment vertical="center" wrapText="1"/>
    </xf>
    <xf numFmtId="0" fontId="0" fillId="26" borderId="99" xfId="0" applyFill="1" applyBorder="1">
      <alignment vertical="center"/>
    </xf>
    <xf numFmtId="0" fontId="0" fillId="26" borderId="101" xfId="0" applyFill="1" applyBorder="1">
      <alignment vertical="center"/>
    </xf>
    <xf numFmtId="0" fontId="0" fillId="26" borderId="100" xfId="0" applyFill="1" applyBorder="1">
      <alignment vertical="center"/>
    </xf>
    <xf numFmtId="0" fontId="0" fillId="0" borderId="100" xfId="0" applyBorder="1">
      <alignment vertical="center"/>
    </xf>
    <xf numFmtId="0" fontId="0" fillId="0" borderId="99" xfId="0" applyBorder="1">
      <alignment vertical="center"/>
    </xf>
    <xf numFmtId="0" fontId="0" fillId="0" borderId="101" xfId="0" applyBorder="1">
      <alignment vertical="center"/>
    </xf>
    <xf numFmtId="0" fontId="0" fillId="35" borderId="93" xfId="0" applyFill="1" applyBorder="1" applyAlignment="1">
      <alignment horizontal="right" vertical="center"/>
    </xf>
    <xf numFmtId="0" fontId="0" fillId="35" borderId="94" xfId="0" applyFill="1" applyBorder="1">
      <alignment vertical="center"/>
    </xf>
    <xf numFmtId="0" fontId="0" fillId="35" borderId="96" xfId="0" applyFill="1" applyBorder="1" applyAlignment="1">
      <alignment horizontal="right" vertical="center"/>
    </xf>
    <xf numFmtId="0" fontId="0" fillId="35" borderId="97" xfId="0" applyFill="1" applyBorder="1">
      <alignment vertical="center"/>
    </xf>
    <xf numFmtId="0" fontId="0" fillId="35" borderId="99" xfId="0" applyFill="1" applyBorder="1" applyAlignment="1">
      <alignment horizontal="right" vertical="center"/>
    </xf>
    <xf numFmtId="0" fontId="0" fillId="35" borderId="10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96" xfId="0" applyBorder="1">
      <alignment vertical="center"/>
    </xf>
    <xf numFmtId="0" fontId="25" fillId="25" borderId="0" xfId="0" quotePrefix="1" applyFont="1" applyFill="1" applyAlignment="1">
      <alignment vertical="center"/>
    </xf>
    <xf numFmtId="0" fontId="0" fillId="25" borderId="0" xfId="0" applyFill="1" applyAlignment="1">
      <alignment vertical="center"/>
    </xf>
    <xf numFmtId="0" fontId="0" fillId="25" borderId="75" xfId="0" applyFill="1" applyBorder="1" applyAlignment="1">
      <alignment vertical="center" wrapText="1"/>
    </xf>
    <xf numFmtId="0" fontId="0" fillId="25" borderId="11" xfId="0" applyFill="1" applyBorder="1" applyAlignment="1">
      <alignment vertical="center" wrapText="1"/>
    </xf>
    <xf numFmtId="0" fontId="0" fillId="25" borderId="76" xfId="0" applyFill="1" applyBorder="1" applyAlignment="1">
      <alignment vertical="center" wrapText="1"/>
    </xf>
    <xf numFmtId="0" fontId="0" fillId="25" borderId="19" xfId="0" applyFill="1" applyBorder="1" applyAlignment="1">
      <alignment vertical="center" wrapText="1"/>
    </xf>
    <xf numFmtId="0" fontId="0" fillId="25" borderId="20" xfId="0" applyFill="1" applyBorder="1" applyAlignment="1">
      <alignment vertical="center" wrapText="1"/>
    </xf>
    <xf numFmtId="0" fontId="0" fillId="25" borderId="21" xfId="0" applyFill="1" applyBorder="1" applyAlignment="1">
      <alignment vertical="center" wrapText="1"/>
    </xf>
    <xf numFmtId="0" fontId="0" fillId="25" borderId="72" xfId="0" applyFill="1" applyBorder="1" applyAlignment="1">
      <alignment vertical="center" wrapText="1"/>
    </xf>
    <xf numFmtId="0" fontId="0" fillId="25" borderId="77" xfId="0" applyFill="1" applyBorder="1" applyAlignment="1">
      <alignment vertical="center" wrapText="1"/>
    </xf>
    <xf numFmtId="0" fontId="0" fillId="25" borderId="78" xfId="0" applyFill="1" applyBorder="1" applyAlignment="1">
      <alignment vertical="center" wrapText="1"/>
    </xf>
    <xf numFmtId="0" fontId="0" fillId="25" borderId="79" xfId="0" applyFill="1" applyBorder="1" applyAlignment="1">
      <alignment vertical="center" wrapText="1"/>
    </xf>
    <xf numFmtId="0" fontId="0" fillId="25" borderId="80" xfId="0" applyFill="1" applyBorder="1" applyAlignment="1">
      <alignment vertical="center" wrapText="1"/>
    </xf>
    <xf numFmtId="0" fontId="0" fillId="25" borderId="81" xfId="0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38" fontId="1" fillId="0" borderId="11" xfId="34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vertical="center"/>
    </xf>
    <xf numFmtId="49" fontId="28" fillId="28" borderId="70" xfId="44" applyNumberFormat="1" applyFont="1" applyFill="1" applyBorder="1" applyAlignment="1">
      <alignment horizontal="center"/>
    </xf>
    <xf numFmtId="0" fontId="28" fillId="28" borderId="70" xfId="44" applyFont="1" applyFill="1" applyBorder="1" applyAlignment="1">
      <alignment horizont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12471028341398"/>
          <c:y val="7.7216540337040368E-2"/>
          <c:w val="0.74739966657178869"/>
          <c:h val="0.70066860676203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'練習問題４(例)'!$A$12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('練習問題４(例)'!$C$12,'練習問題４(例)'!$G$12,'練習問題４(例)'!$K$12)</c:f>
                <c:numCache>
                  <c:formatCode>General</c:formatCode>
                  <c:ptCount val="3"/>
                  <c:pt idx="0">
                    <c:v>8.2054748694498802E-2</c:v>
                  </c:pt>
                  <c:pt idx="1">
                    <c:v>6.3561519632268651E-2</c:v>
                  </c:pt>
                  <c:pt idx="2">
                    <c:v>5.1754147126165703E-2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('練習問題４(例)'!$B$9,'練習問題４(例)'!$F$9,'練習問題４(例)'!$J$9)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('練習問題４(例)'!$B$12,'練習問題４(例)'!$F$12,'練習問題４(例)'!$J$12)</c:f>
              <c:numCache>
                <c:formatCode>0.00</c:formatCode>
                <c:ptCount val="3"/>
                <c:pt idx="0">
                  <c:v>12.7</c:v>
                </c:pt>
                <c:pt idx="1">
                  <c:v>10.9</c:v>
                </c:pt>
                <c:pt idx="2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D-4FC7-96DB-08B6F1B3CA46}"/>
            </c:ext>
          </c:extLst>
        </c:ser>
        <c:ser>
          <c:idx val="1"/>
          <c:order val="1"/>
          <c:tx>
            <c:strRef>
              <c:f>'練習問題４(例)'!$A$13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('練習問題４(例)'!$C$13,'練習問題４(例)'!$G$13,'練習問題４(例)'!$K$13)</c:f>
                <c:numCache>
                  <c:formatCode>General</c:formatCode>
                  <c:ptCount val="3"/>
                  <c:pt idx="0">
                    <c:v>8.147159132058053E-2</c:v>
                  </c:pt>
                  <c:pt idx="1">
                    <c:v>6.5813052637369057E-2</c:v>
                  </c:pt>
                  <c:pt idx="2">
                    <c:v>5.2999894000317994E-2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('練習問題４(例)'!$B$9,'練習問題４(例)'!$F$9,'練習問題４(例)'!$J$9)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('練習問題４(例)'!$B$13,'練習問題４(例)'!$F$13,'練習問題４(例)'!$J$13)</c:f>
              <c:numCache>
                <c:formatCode>0.00</c:formatCode>
                <c:ptCount val="3"/>
                <c:pt idx="0">
                  <c:v>12</c:v>
                </c:pt>
                <c:pt idx="1">
                  <c:v>10.3</c:v>
                </c:pt>
                <c:pt idx="2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D-4FC7-96DB-08B6F1B3C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59008"/>
        <c:axId val="1"/>
      </c:barChart>
      <c:catAx>
        <c:axId val="929359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392169728783902E-2"/>
              <c:y val="0.203051009928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59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0000656167979"/>
          <c:y val="0.9072488112898931"/>
          <c:w val="0.50625109361329834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年齢調整値</a:t>
            </a:r>
          </a:p>
        </c:rich>
      </c:tx>
      <c:layout>
        <c:manualLayout>
          <c:xMode val="edge"/>
          <c:yMode val="edge"/>
          <c:x val="0.41314933346429411"/>
          <c:y val="3.246182783010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62308150827411"/>
          <c:y val="0.13796237101691244"/>
          <c:w val="0.74948198189065462"/>
          <c:h val="0.65464497619789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練習問題４Ｂ!$A$12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(練習問題４Ｂ!$C$15,練習問題４Ｂ!$G$15,練習問題４Ｂ!$K$15)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(練習問題４Ｂ!$B$9,練習問題４Ｂ!$F$9,練習問題４Ｂ!$J$9)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(練習問題４Ｂ!$B$15,練習問題４Ｂ!$F$15,練習問題４Ｂ!$J$15)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7-42EC-B00B-1398E7F93E7D}"/>
            </c:ext>
          </c:extLst>
        </c:ser>
        <c:ser>
          <c:idx val="1"/>
          <c:order val="1"/>
          <c:tx>
            <c:strRef>
              <c:f>練習問題４Ｂ!$A$13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(練習問題４Ｂ!$C$16,練習問題４Ｂ!$G$16,練習問題４Ｂ!$K$16)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(練習問題４Ｂ!$B$9,練習問題４Ｂ!$F$9,練習問題４Ｂ!$J$9)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(練習問題４Ｂ!$B$16,練習問題４Ｂ!$F$16,練習問題４Ｂ!$J$16)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7-42EC-B00B-1398E7F9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40208"/>
        <c:axId val="1"/>
      </c:barChart>
      <c:catAx>
        <c:axId val="92934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29414332563939E-2"/>
              <c:y val="0.25428365051098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40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353452180223833"/>
          <c:y val="0.91280768378067179"/>
          <c:w val="0.50519794173337473"/>
          <c:h val="6.53950953678473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男性</a:t>
            </a:r>
          </a:p>
        </c:rich>
      </c:tx>
      <c:layout>
        <c:manualLayout>
          <c:xMode val="edge"/>
          <c:yMode val="edge"/>
          <c:x val="0.45319668699000176"/>
          <c:y val="3.1125230633299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55949039574522"/>
          <c:y val="0.17478079917697398"/>
          <c:w val="0.80568311633290712"/>
          <c:h val="0.500399822301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練習問題４Ｂ!$A$24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練習問題４Ｂ!$E$28:$E$33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練習問題４Ｂ!$A$28:$A$33</c:f>
              <c:strCache>
                <c:ptCount val="6"/>
                <c:pt idx="0">
                  <c:v>18～29</c:v>
                </c:pt>
                <c:pt idx="1">
                  <c:v>30～49</c:v>
                </c:pt>
                <c:pt idx="2">
                  <c:v>50～69</c:v>
                </c:pt>
                <c:pt idx="3">
                  <c:v>70以上</c:v>
                </c:pt>
                <c:pt idx="4">
                  <c:v>全年齢</c:v>
                </c:pt>
                <c:pt idx="5">
                  <c:v>年齢調整値</c:v>
                </c:pt>
              </c:strCache>
            </c:strRef>
          </c:cat>
          <c:val>
            <c:numRef>
              <c:f>練習問題４Ｂ!$C$28:$C$33</c:f>
              <c:numCache>
                <c:formatCode>0.00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5-4A02-84AF-F236FFA71033}"/>
            </c:ext>
          </c:extLst>
        </c:ser>
        <c:ser>
          <c:idx val="1"/>
          <c:order val="1"/>
          <c:tx>
            <c:strRef>
              <c:f>練習問題４Ｂ!$A$45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練習問題４Ｂ!$E$49:$E$54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練習問題４Ｂ!$C$49:$C$54</c:f>
              <c:numCache>
                <c:formatCode>0.00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5-4A02-84AF-F236FFA7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41808"/>
        <c:axId val="1"/>
      </c:barChart>
      <c:catAx>
        <c:axId val="92934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87877488076635E-2"/>
              <c:y val="0.237031522049842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41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1762513148891408"/>
          <c:y val="0.92657753176892488"/>
          <c:w val="0.81924037705403552"/>
          <c:h val="0.984039655934097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女性</a:t>
            </a:r>
          </a:p>
        </c:rich>
      </c:tx>
      <c:layout>
        <c:manualLayout>
          <c:xMode val="edge"/>
          <c:yMode val="edge"/>
          <c:x val="0.45396060957496592"/>
          <c:y val="3.13254267534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1302797638137"/>
          <c:y val="0.17590361445783131"/>
          <c:w val="0.80747042954969905"/>
          <c:h val="0.4963855421686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練習問題４Ｂ!$A$24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練習問題４Ｂ!$E$35:$E$40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練習問題４Ｂ!$A$28:$A$33</c:f>
              <c:strCache>
                <c:ptCount val="6"/>
                <c:pt idx="0">
                  <c:v>18～29</c:v>
                </c:pt>
                <c:pt idx="1">
                  <c:v>30～49</c:v>
                </c:pt>
                <c:pt idx="2">
                  <c:v>50～69</c:v>
                </c:pt>
                <c:pt idx="3">
                  <c:v>70以上</c:v>
                </c:pt>
                <c:pt idx="4">
                  <c:v>全年齢</c:v>
                </c:pt>
                <c:pt idx="5">
                  <c:v>年齢調整値</c:v>
                </c:pt>
              </c:strCache>
            </c:strRef>
          </c:cat>
          <c:val>
            <c:numRef>
              <c:f>練習問題４Ｂ!$C$35:$C$40</c:f>
              <c:numCache>
                <c:formatCode>0.00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5C0-A5E6-BDE6806B63F2}"/>
            </c:ext>
          </c:extLst>
        </c:ser>
        <c:ser>
          <c:idx val="1"/>
          <c:order val="1"/>
          <c:tx>
            <c:strRef>
              <c:f>練習問題４Ｂ!$A$45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練習問題４Ｂ!$E$56:$E$61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練習問題４Ｂ!$C$56:$C$61</c:f>
              <c:numCache>
                <c:formatCode>0.00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C-45C0-A5E6-BDE6806B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45008"/>
        <c:axId val="1"/>
      </c:barChart>
      <c:catAx>
        <c:axId val="92934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0805509776394E-2"/>
              <c:y val="0.236144663058556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45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783006775315875"/>
          <c:y val="0.92307796513028917"/>
          <c:w val="0.81976906956397899"/>
          <c:h val="0.98263131500621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年齢調整値</a:t>
            </a:r>
          </a:p>
        </c:rich>
      </c:tx>
      <c:layout>
        <c:manualLayout>
          <c:xMode val="edge"/>
          <c:yMode val="edge"/>
          <c:x val="0.41314933346429411"/>
          <c:y val="3.246182783010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62308150827411"/>
          <c:y val="0.13796237101691244"/>
          <c:w val="0.74948198189065462"/>
          <c:h val="0.65464497619789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'練習問題４(例)'!$A$12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('練習問題４(例)'!$C$15,'練習問題４(例)'!$G$15,'練習問題４(例)'!$K$15)</c:f>
                <c:numCache>
                  <c:formatCode>General</c:formatCode>
                  <c:ptCount val="3"/>
                  <c:pt idx="0">
                    <c:v>8.2366580900039482E-2</c:v>
                  </c:pt>
                  <c:pt idx="1">
                    <c:v>6.2695238845669701E-2</c:v>
                  </c:pt>
                  <c:pt idx="2">
                    <c:v>5.1756513172446034E-2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('練習問題４(例)'!$B$9,'練習問題４(例)'!$F$9,'練習問題４(例)'!$J$9)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('練習問題４(例)'!$B$15,'練習問題４(例)'!$F$15,'練習問題４(例)'!$J$15)</c:f>
              <c:numCache>
                <c:formatCode>0.00</c:formatCode>
                <c:ptCount val="3"/>
                <c:pt idx="0">
                  <c:v>12.605497306097135</c:v>
                </c:pt>
                <c:pt idx="1">
                  <c:v>10.799140470560875</c:v>
                </c:pt>
                <c:pt idx="2">
                  <c:v>11.702318888329005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DC8-BE5C-EC5202280212}"/>
            </c:ext>
          </c:extLst>
        </c:ser>
        <c:ser>
          <c:idx val="1"/>
          <c:order val="1"/>
          <c:tx>
            <c:strRef>
              <c:f>'練習問題４(例)'!$A$13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('練習問題４(例)'!$C$16,'練習問題４(例)'!$G$16,'練習問題４(例)'!$K$16)</c:f>
                <c:numCache>
                  <c:formatCode>General</c:formatCode>
                  <c:ptCount val="3"/>
                  <c:pt idx="0">
                    <c:v>8.3109077893289307E-2</c:v>
                  </c:pt>
                  <c:pt idx="1">
                    <c:v>6.5563070839904161E-2</c:v>
                  </c:pt>
                  <c:pt idx="2">
                    <c:v>5.2928336187318223E-2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('練習問題４(例)'!$B$9,'練習問題４(例)'!$F$9,'練習問題４(例)'!$J$9)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('練習問題４(例)'!$B$16,'練習問題４(例)'!$F$16,'練習問題４(例)'!$J$16)</c:f>
              <c:numCache>
                <c:formatCode>0.00</c:formatCode>
                <c:ptCount val="3"/>
                <c:pt idx="0">
                  <c:v>11.923731539982169</c:v>
                </c:pt>
                <c:pt idx="1">
                  <c:v>10.179860653513703</c:v>
                </c:pt>
                <c:pt idx="2">
                  <c:v>11.051796096747935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DC8-BE5C-EC520228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56608"/>
        <c:axId val="1"/>
      </c:barChart>
      <c:catAx>
        <c:axId val="92935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29414332563939E-2"/>
              <c:y val="0.25428365051098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56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353452180223833"/>
          <c:y val="0.91280768378067179"/>
          <c:w val="0.50519794173337473"/>
          <c:h val="6.53950953678473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男性</a:t>
            </a:r>
          </a:p>
        </c:rich>
      </c:tx>
      <c:layout>
        <c:manualLayout>
          <c:xMode val="edge"/>
          <c:yMode val="edge"/>
          <c:x val="0.45319668699000176"/>
          <c:y val="3.1125230633299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55949039574522"/>
          <c:y val="0.17478079917697398"/>
          <c:w val="0.80568311633290712"/>
          <c:h val="0.500399822301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'練習問題４(例)'!$A$24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'練習問題４(例)'!$E$28:$E$35</c:f>
                <c:numCache>
                  <c:formatCode>General</c:formatCode>
                  <c:ptCount val="8"/>
                  <c:pt idx="0">
                    <c:v>0.24212399923954656</c:v>
                  </c:pt>
                  <c:pt idx="1">
                    <c:v>0.1853019447557239</c:v>
                  </c:pt>
                  <c:pt idx="2">
                    <c:v>0.20112436671490022</c:v>
                  </c:pt>
                  <c:pt idx="3">
                    <c:v>0.20304061218406141</c:v>
                  </c:pt>
                  <c:pt idx="4">
                    <c:v>0.19447624963771734</c:v>
                  </c:pt>
                  <c:pt idx="5">
                    <c:v>0.18560800393794394</c:v>
                  </c:pt>
                  <c:pt idx="6">
                    <c:v>8.2054748694498802E-2</c:v>
                  </c:pt>
                  <c:pt idx="7">
                    <c:v>8.2366580900039482E-2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'練習問題４(例)'!$A$28:$A$35</c:f>
              <c:strCache>
                <c:ptCount val="8"/>
                <c:pt idx="0">
                  <c:v>20～29</c:v>
                </c:pt>
                <c:pt idx="1">
                  <c:v>30～39</c:v>
                </c:pt>
                <c:pt idx="2">
                  <c:v>40～49</c:v>
                </c:pt>
                <c:pt idx="3">
                  <c:v>50～59</c:v>
                </c:pt>
                <c:pt idx="4">
                  <c:v>60～69</c:v>
                </c:pt>
                <c:pt idx="5">
                  <c:v>70以上</c:v>
                </c:pt>
                <c:pt idx="6">
                  <c:v>全年齢</c:v>
                </c:pt>
                <c:pt idx="7">
                  <c:v>年齢調整値</c:v>
                </c:pt>
              </c:strCache>
            </c:strRef>
          </c:cat>
          <c:val>
            <c:numRef>
              <c:f>'練習問題４(例)'!$C$28:$C$35</c:f>
              <c:numCache>
                <c:formatCode>0.00</c:formatCode>
                <c:ptCount val="8"/>
                <c:pt idx="0">
                  <c:v>11.7</c:v>
                </c:pt>
                <c:pt idx="1">
                  <c:v>12</c:v>
                </c:pt>
                <c:pt idx="2">
                  <c:v>12.7</c:v>
                </c:pt>
                <c:pt idx="3">
                  <c:v>13.4</c:v>
                </c:pt>
                <c:pt idx="4">
                  <c:v>13.5</c:v>
                </c:pt>
                <c:pt idx="5">
                  <c:v>12.3</c:v>
                </c:pt>
                <c:pt idx="6">
                  <c:v>12.7</c:v>
                </c:pt>
                <c:pt idx="7">
                  <c:v>12.605497306097135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4-4D8E-8064-B4F1E0717E40}"/>
            </c:ext>
          </c:extLst>
        </c:ser>
        <c:ser>
          <c:idx val="1"/>
          <c:order val="1"/>
          <c:tx>
            <c:strRef>
              <c:f>'練習問題４(例)'!$A$49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'練習問題４(例)'!$E$53:$E$60</c:f>
                <c:numCache>
                  <c:formatCode>General</c:formatCode>
                  <c:ptCount val="8"/>
                  <c:pt idx="0">
                    <c:v>0.25809270060438194</c:v>
                  </c:pt>
                  <c:pt idx="1">
                    <c:v>0.18934585248125152</c:v>
                  </c:pt>
                  <c:pt idx="2">
                    <c:v>0.18987401488092537</c:v>
                  </c:pt>
                  <c:pt idx="3">
                    <c:v>0.20637208585324901</c:v>
                  </c:pt>
                  <c:pt idx="4">
                    <c:v>0.19791838405511486</c:v>
                  </c:pt>
                  <c:pt idx="5">
                    <c:v>0.17815304024104231</c:v>
                  </c:pt>
                  <c:pt idx="6">
                    <c:v>8.147159132058053E-2</c:v>
                  </c:pt>
                  <c:pt idx="7">
                    <c:v>8.3109077893289307E-2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'練習問題４(例)'!$C$53:$C$60</c:f>
              <c:numCache>
                <c:formatCode>0.00</c:formatCode>
                <c:ptCount val="8"/>
                <c:pt idx="0">
                  <c:v>11.4</c:v>
                </c:pt>
                <c:pt idx="1">
                  <c:v>11.3</c:v>
                </c:pt>
                <c:pt idx="2">
                  <c:v>11.7</c:v>
                </c:pt>
                <c:pt idx="3">
                  <c:v>12.6</c:v>
                </c:pt>
                <c:pt idx="4">
                  <c:v>12.6</c:v>
                </c:pt>
                <c:pt idx="5">
                  <c:v>11.9</c:v>
                </c:pt>
                <c:pt idx="6">
                  <c:v>12</c:v>
                </c:pt>
                <c:pt idx="7">
                  <c:v>11.923731539982169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4-4D8E-8064-B4F1E071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50608"/>
        <c:axId val="1"/>
      </c:barChart>
      <c:catAx>
        <c:axId val="92935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87877488076635E-2"/>
              <c:y val="0.237031522049842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50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712082682271719"/>
          <c:y val="0.92574257425742579"/>
          <c:w val="0.81712123533196479"/>
          <c:h val="0.985148514851485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女性</a:t>
            </a:r>
          </a:p>
        </c:rich>
      </c:tx>
      <c:layout>
        <c:manualLayout>
          <c:xMode val="edge"/>
          <c:yMode val="edge"/>
          <c:x val="0.45396060957496592"/>
          <c:y val="3.13254267534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1302797638137"/>
          <c:y val="0.17590361445783131"/>
          <c:w val="0.80747042954969905"/>
          <c:h val="0.4963855421686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'練習問題４(例)'!$A$24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'練習問題４(例)'!$E$37:$E$44</c:f>
                <c:numCache>
                  <c:formatCode>General</c:formatCode>
                  <c:ptCount val="8"/>
                  <c:pt idx="0">
                    <c:v>0.16173874084416223</c:v>
                  </c:pt>
                  <c:pt idx="1">
                    <c:v>0.14886458551295736</c:v>
                  </c:pt>
                  <c:pt idx="2">
                    <c:v>0.16393596310755001</c:v>
                  </c:pt>
                  <c:pt idx="3">
                    <c:v>0.14553906436423697</c:v>
                  </c:pt>
                  <c:pt idx="4">
                    <c:v>0.1626417954172073</c:v>
                  </c:pt>
                  <c:pt idx="5">
                    <c:v>0.14229829172464156</c:v>
                  </c:pt>
                  <c:pt idx="6">
                    <c:v>6.3561519632268651E-2</c:v>
                  </c:pt>
                  <c:pt idx="7">
                    <c:v>6.2695238845669701E-2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'練習問題４(例)'!$A$28:$A$35</c:f>
              <c:strCache>
                <c:ptCount val="8"/>
                <c:pt idx="0">
                  <c:v>20～29</c:v>
                </c:pt>
                <c:pt idx="1">
                  <c:v>30～39</c:v>
                </c:pt>
                <c:pt idx="2">
                  <c:v>40～49</c:v>
                </c:pt>
                <c:pt idx="3">
                  <c:v>50～59</c:v>
                </c:pt>
                <c:pt idx="4">
                  <c:v>60～69</c:v>
                </c:pt>
                <c:pt idx="5">
                  <c:v>70以上</c:v>
                </c:pt>
                <c:pt idx="6">
                  <c:v>全年齢</c:v>
                </c:pt>
                <c:pt idx="7">
                  <c:v>年齢調整値</c:v>
                </c:pt>
              </c:strCache>
            </c:strRef>
          </c:cat>
          <c:val>
            <c:numRef>
              <c:f>'練習問題４(例)'!$C$37:$C$44</c:f>
              <c:numCache>
                <c:formatCode>0.00</c:formatCode>
                <c:ptCount val="8"/>
                <c:pt idx="0">
                  <c:v>9.8000000000000007</c:v>
                </c:pt>
                <c:pt idx="1">
                  <c:v>9.9</c:v>
                </c:pt>
                <c:pt idx="2">
                  <c:v>10.9</c:v>
                </c:pt>
                <c:pt idx="3">
                  <c:v>11.4</c:v>
                </c:pt>
                <c:pt idx="4">
                  <c:v>12</c:v>
                </c:pt>
                <c:pt idx="5">
                  <c:v>10.8</c:v>
                </c:pt>
                <c:pt idx="6">
                  <c:v>10.9</c:v>
                </c:pt>
                <c:pt idx="7">
                  <c:v>10.799140470560875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5D2-8281-D5DD7546189E}"/>
            </c:ext>
          </c:extLst>
        </c:ser>
        <c:ser>
          <c:idx val="1"/>
          <c:order val="1"/>
          <c:tx>
            <c:strRef>
              <c:f>'練習問題４(例)'!$A$49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'練習問題４(例)'!$E$62:$E$69</c:f>
                <c:numCache>
                  <c:formatCode>General</c:formatCode>
                  <c:ptCount val="8"/>
                  <c:pt idx="0">
                    <c:v>0.19473684210526318</c:v>
                  </c:pt>
                  <c:pt idx="1">
                    <c:v>0.1439133206931166</c:v>
                  </c:pt>
                  <c:pt idx="2">
                    <c:v>0.15916448515084428</c:v>
                  </c:pt>
                  <c:pt idx="3">
                    <c:v>0.16094434970026295</c:v>
                  </c:pt>
                  <c:pt idx="4">
                    <c:v>0.16664041788051023</c:v>
                  </c:pt>
                  <c:pt idx="5">
                    <c:v>0.14096090365536842</c:v>
                  </c:pt>
                  <c:pt idx="6">
                    <c:v>6.5813052637369057E-2</c:v>
                  </c:pt>
                  <c:pt idx="7">
                    <c:v>6.5563070839904161E-2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'練習問題４(例)'!$C$62:$C$69</c:f>
              <c:numCache>
                <c:formatCode>0.00</c:formatCode>
                <c:ptCount val="8"/>
                <c:pt idx="0">
                  <c:v>9.4</c:v>
                </c:pt>
                <c:pt idx="1">
                  <c:v>9.6</c:v>
                </c:pt>
                <c:pt idx="2">
                  <c:v>9.9</c:v>
                </c:pt>
                <c:pt idx="3">
                  <c:v>10.8</c:v>
                </c:pt>
                <c:pt idx="4">
                  <c:v>10.9</c:v>
                </c:pt>
                <c:pt idx="5">
                  <c:v>10.4</c:v>
                </c:pt>
                <c:pt idx="6">
                  <c:v>10.3</c:v>
                </c:pt>
                <c:pt idx="7">
                  <c:v>10.179860653513703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E-45D2-8281-D5DD75461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64608"/>
        <c:axId val="1"/>
      </c:barChart>
      <c:catAx>
        <c:axId val="929364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0805509776394E-2"/>
              <c:y val="0.236144663058556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64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783006775315875"/>
          <c:y val="0.92307796513028917"/>
          <c:w val="0.81976906956397899"/>
          <c:h val="0.98263131500621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12471028341398"/>
          <c:y val="7.7216540337040368E-2"/>
          <c:w val="0.74739966657178869"/>
          <c:h val="0.70066860676203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練習問題４A!$A$12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(練習問題４A!$C$12,練習問題４A!$G$12,練習問題４A!$K$12)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(練習問題４A!$B$9,練習問題４A!$F$9,練習問題４A!$J$9)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(練習問題４A!$B$12,練習問題４A!$F$12,練習問題４A!$J$12)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D-4DEF-A7A0-0AA90954450A}"/>
            </c:ext>
          </c:extLst>
        </c:ser>
        <c:ser>
          <c:idx val="1"/>
          <c:order val="1"/>
          <c:tx>
            <c:strRef>
              <c:f>練習問題４A!$A$13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(練習問題４A!$C$13,練習問題４A!$G$13,練習問題４A!$K$13)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(練習問題４A!$B$9,練習問題４A!$F$9,練習問題４A!$J$9)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(練習問題４A!$B$13,練習問題４A!$F$13,練習問題４A!$J$13)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D-4DEF-A7A0-0AA90954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44608"/>
        <c:axId val="1"/>
      </c:barChart>
      <c:catAx>
        <c:axId val="929344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392169728783902E-2"/>
              <c:y val="0.203051009928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44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0000656167979"/>
          <c:y val="0.9072488112898931"/>
          <c:w val="0.50625109361329834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年齢調整値</a:t>
            </a:r>
          </a:p>
        </c:rich>
      </c:tx>
      <c:layout>
        <c:manualLayout>
          <c:xMode val="edge"/>
          <c:yMode val="edge"/>
          <c:x val="0.41314933346429411"/>
          <c:y val="3.246182783010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62308150827411"/>
          <c:y val="0.13796237101691244"/>
          <c:w val="0.74948198189065462"/>
          <c:h val="0.65464497619789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練習問題４A!$A$12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(練習問題４A!$C$15,練習問題４A!$G$15,練習問題４A!$K$15)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(練習問題４A!$B$9,練習問題４A!$F$9,練習問題４A!$J$9)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(練習問題４A!$B$15,練習問題４A!$F$15,練習問題４A!$J$15)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0-4215-A411-6C8153489247}"/>
            </c:ext>
          </c:extLst>
        </c:ser>
        <c:ser>
          <c:idx val="1"/>
          <c:order val="1"/>
          <c:tx>
            <c:strRef>
              <c:f>練習問題４A!$A$13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(練習問題４A!$C$16,練習問題４A!$G$16,練習問題４A!$K$16)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(練習問題４A!$B$9,練習問題４A!$F$9,練習問題４A!$J$9)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(練習問題４A!$B$16,練習問題４A!$F$16,練習問題４A!$J$16)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0-4215-A411-6C815348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57008"/>
        <c:axId val="1"/>
      </c:barChart>
      <c:catAx>
        <c:axId val="92935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29414332563939E-2"/>
              <c:y val="0.254283650510988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57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353452180223833"/>
          <c:y val="0.91280768378067179"/>
          <c:w val="0.50519794173337473"/>
          <c:h val="6.53950953678473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男性</a:t>
            </a:r>
          </a:p>
        </c:rich>
      </c:tx>
      <c:layout>
        <c:manualLayout>
          <c:xMode val="edge"/>
          <c:yMode val="edge"/>
          <c:x val="0.45319668699000176"/>
          <c:y val="3.1125230633299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55949039574522"/>
          <c:y val="0.17478079917697398"/>
          <c:w val="0.80568311633290712"/>
          <c:h val="0.500399822301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練習問題４A!$A$24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練習問題４A!$E$28:$E$35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練習問題４A!$A$28:$A$35</c:f>
              <c:strCache>
                <c:ptCount val="8"/>
                <c:pt idx="0">
                  <c:v>20～29</c:v>
                </c:pt>
                <c:pt idx="1">
                  <c:v>30～39</c:v>
                </c:pt>
                <c:pt idx="2">
                  <c:v>40～49</c:v>
                </c:pt>
                <c:pt idx="3">
                  <c:v>50～59</c:v>
                </c:pt>
                <c:pt idx="4">
                  <c:v>60～69</c:v>
                </c:pt>
                <c:pt idx="5">
                  <c:v>70以上</c:v>
                </c:pt>
                <c:pt idx="6">
                  <c:v>全年齢</c:v>
                </c:pt>
                <c:pt idx="7">
                  <c:v>年齢調整値</c:v>
                </c:pt>
              </c:strCache>
            </c:strRef>
          </c:cat>
          <c:val>
            <c:numRef>
              <c:f>練習問題４A!$C$28:$C$35</c:f>
              <c:numCache>
                <c:formatCode>0.00</c:formatCode>
                <c:ptCount val="8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2-44F2-986C-29C358A6656F}"/>
            </c:ext>
          </c:extLst>
        </c:ser>
        <c:ser>
          <c:idx val="1"/>
          <c:order val="1"/>
          <c:tx>
            <c:strRef>
              <c:f>練習問題４A!$A$49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練習問題４A!$E$53:$E$60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練習問題４A!$C$53:$C$60</c:f>
              <c:numCache>
                <c:formatCode>0.00</c:formatCode>
                <c:ptCount val="8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2-44F2-986C-29C358A6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58208"/>
        <c:axId val="1"/>
      </c:barChart>
      <c:catAx>
        <c:axId val="929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87877488076635E-2"/>
              <c:y val="0.237031522049842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5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1762513148891408"/>
          <c:y val="0.92657753176892488"/>
          <c:w val="0.81924037705403552"/>
          <c:h val="0.984039655934097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女性</a:t>
            </a:r>
          </a:p>
        </c:rich>
      </c:tx>
      <c:layout>
        <c:manualLayout>
          <c:xMode val="edge"/>
          <c:yMode val="edge"/>
          <c:x val="0.45396060957496592"/>
          <c:y val="3.13254267534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1302797638137"/>
          <c:y val="0.17590361445783131"/>
          <c:w val="0.80747042954969905"/>
          <c:h val="0.4963855421686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練習問題４A!$A$24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練習問題４A!$E$37:$E$44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練習問題４A!$A$28:$A$35</c:f>
              <c:strCache>
                <c:ptCount val="8"/>
                <c:pt idx="0">
                  <c:v>20～29</c:v>
                </c:pt>
                <c:pt idx="1">
                  <c:v>30～39</c:v>
                </c:pt>
                <c:pt idx="2">
                  <c:v>40～49</c:v>
                </c:pt>
                <c:pt idx="3">
                  <c:v>50～59</c:v>
                </c:pt>
                <c:pt idx="4">
                  <c:v>60～69</c:v>
                </c:pt>
                <c:pt idx="5">
                  <c:v>70以上</c:v>
                </c:pt>
                <c:pt idx="6">
                  <c:v>全年齢</c:v>
                </c:pt>
                <c:pt idx="7">
                  <c:v>年齢調整値</c:v>
                </c:pt>
              </c:strCache>
            </c:strRef>
          </c:cat>
          <c:val>
            <c:numRef>
              <c:f>練習問題４A!$C$37:$C$44</c:f>
              <c:numCache>
                <c:formatCode>0.00</c:formatCode>
                <c:ptCount val="8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7-4E39-B2D1-B82A2F151DDE}"/>
            </c:ext>
          </c:extLst>
        </c:ser>
        <c:ser>
          <c:idx val="1"/>
          <c:order val="1"/>
          <c:tx>
            <c:strRef>
              <c:f>練習問題４A!$A$49</c:f>
              <c:strCache>
                <c:ptCount val="1"/>
                <c:pt idx="0">
                  <c:v>評価時点の値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練習問題４A!$E$62:$E$69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練習問題４A!$C$62:$C$69</c:f>
              <c:numCache>
                <c:formatCode>0.00</c:formatCode>
                <c:ptCount val="8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7-4E39-B2D1-B82A2F15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60608"/>
        <c:axId val="1"/>
      </c:barChart>
      <c:catAx>
        <c:axId val="92936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090805509776394E-2"/>
              <c:y val="0.236144663058556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60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783006775315875"/>
          <c:y val="0.92307796513028917"/>
          <c:w val="0.81976906956397899"/>
          <c:h val="0.98263131500621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12471028341398"/>
          <c:y val="7.7216540337040368E-2"/>
          <c:w val="0.74739966657178869"/>
          <c:h val="0.70066860676203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練習問題４Ｂ!$A$12</c:f>
              <c:strCache>
                <c:ptCount val="1"/>
                <c:pt idx="0">
                  <c:v>ベースラインの値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(練習問題４Ｂ!$C$12,練習問題４Ｂ!$G$12,練習問題４Ｂ!$K$12)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(練習問題４Ｂ!$B$9,練習問題４Ｂ!$F$9,練習問題４Ｂ!$J$9)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(練習問題４Ｂ!$B$12,練習問題４Ｂ!$F$12,練習問題４Ｂ!$J$12)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E-4A73-966E-FA3D666DD72A}"/>
            </c:ext>
          </c:extLst>
        </c:ser>
        <c:ser>
          <c:idx val="1"/>
          <c:order val="1"/>
          <c:tx>
            <c:strRef>
              <c:f>練習問題４Ｂ!$A$13</c:f>
              <c:strCache>
                <c:ptCount val="1"/>
                <c:pt idx="0">
                  <c:v>評価時の値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(練習問題４Ｂ!$C$13,練習問題４Ｂ!$G$13,練習問題４Ｂ!$K$13)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(練習問題４Ｂ!$B$9,練習問題４Ｂ!$F$9,練習問題４Ｂ!$J$9)</c:f>
              <c:strCache>
                <c:ptCount val="3"/>
                <c:pt idx="0">
                  <c:v>男性</c:v>
                </c:pt>
                <c:pt idx="1">
                  <c:v>女性</c:v>
                </c:pt>
                <c:pt idx="2">
                  <c:v>男女計</c:v>
                </c:pt>
              </c:strCache>
            </c:strRef>
          </c:cat>
          <c:val>
            <c:numRef>
              <c:f>(練習問題４Ｂ!$B$13,練習問題４Ｂ!$F$13,練習問題４Ｂ!$J$13)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E-4A73-966E-FA3D666D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347408"/>
        <c:axId val="1"/>
      </c:barChart>
      <c:catAx>
        <c:axId val="92934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平均値と標準誤差</a:t>
                </a:r>
              </a:p>
            </c:rich>
          </c:tx>
          <c:layout>
            <c:manualLayout>
              <c:xMode val="edge"/>
              <c:yMode val="edge"/>
              <c:x val="3.5392169728783902E-2"/>
              <c:y val="0.203051009928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4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0000656167979"/>
          <c:y val="0.9072488112898931"/>
          <c:w val="0.50625109361329834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</xdr:row>
      <xdr:rowOff>66675</xdr:rowOff>
    </xdr:from>
    <xdr:to>
      <xdr:col>19</xdr:col>
      <xdr:colOff>485775</xdr:colOff>
      <xdr:row>13</xdr:row>
      <xdr:rowOff>57150</xdr:rowOff>
    </xdr:to>
    <xdr:graphicFrame macro="">
      <xdr:nvGraphicFramePr>
        <xdr:cNvPr id="72805" name="Chart 1">
          <a:extLst>
            <a:ext uri="{FF2B5EF4-FFF2-40B4-BE49-F238E27FC236}">
              <a16:creationId xmlns:a16="http://schemas.microsoft.com/office/drawing/2014/main" id="{1CD3CC0F-F3B1-4AE6-9B81-DA586331A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13</xdr:row>
      <xdr:rowOff>200025</xdr:rowOff>
    </xdr:from>
    <xdr:to>
      <xdr:col>19</xdr:col>
      <xdr:colOff>504825</xdr:colOff>
      <xdr:row>19</xdr:row>
      <xdr:rowOff>571500</xdr:rowOff>
    </xdr:to>
    <xdr:graphicFrame macro="">
      <xdr:nvGraphicFramePr>
        <xdr:cNvPr id="72806" name="Chart 2">
          <a:extLst>
            <a:ext uri="{FF2B5EF4-FFF2-40B4-BE49-F238E27FC236}">
              <a16:creationId xmlns:a16="http://schemas.microsoft.com/office/drawing/2014/main" id="{6243EF6E-871F-4286-B070-247711DEF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304800</xdr:colOff>
      <xdr:row>25</xdr:row>
      <xdr:rowOff>38100</xdr:rowOff>
    </xdr:from>
    <xdr:to>
      <xdr:col>15</xdr:col>
      <xdr:colOff>314325</xdr:colOff>
      <xdr:row>46</xdr:row>
      <xdr:rowOff>76200</xdr:rowOff>
    </xdr:to>
    <xdr:graphicFrame macro="">
      <xdr:nvGraphicFramePr>
        <xdr:cNvPr id="72807" name="Chart 12">
          <a:extLst>
            <a:ext uri="{FF2B5EF4-FFF2-40B4-BE49-F238E27FC236}">
              <a16:creationId xmlns:a16="http://schemas.microsoft.com/office/drawing/2014/main" id="{FE04EBDB-8580-4198-A71C-5C9815A8A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304800</xdr:colOff>
      <xdr:row>47</xdr:row>
      <xdr:rowOff>66675</xdr:rowOff>
    </xdr:from>
    <xdr:to>
      <xdr:col>15</xdr:col>
      <xdr:colOff>333375</xdr:colOff>
      <xdr:row>67</xdr:row>
      <xdr:rowOff>142875</xdr:rowOff>
    </xdr:to>
    <xdr:graphicFrame macro="">
      <xdr:nvGraphicFramePr>
        <xdr:cNvPr id="72808" name="Chart 13">
          <a:extLst>
            <a:ext uri="{FF2B5EF4-FFF2-40B4-BE49-F238E27FC236}">
              <a16:creationId xmlns:a16="http://schemas.microsoft.com/office/drawing/2014/main" id="{3599B5E7-61CC-4513-B962-9125919F1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</xdr:row>
      <xdr:rowOff>66675</xdr:rowOff>
    </xdr:from>
    <xdr:to>
      <xdr:col>19</xdr:col>
      <xdr:colOff>485775</xdr:colOff>
      <xdr:row>13</xdr:row>
      <xdr:rowOff>57150</xdr:rowOff>
    </xdr:to>
    <xdr:graphicFrame macro="">
      <xdr:nvGraphicFramePr>
        <xdr:cNvPr id="57445" name="Chart 1">
          <a:extLst>
            <a:ext uri="{FF2B5EF4-FFF2-40B4-BE49-F238E27FC236}">
              <a16:creationId xmlns:a16="http://schemas.microsoft.com/office/drawing/2014/main" id="{39B40E25-C38A-472B-BC00-8EE1F8824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13</xdr:row>
      <xdr:rowOff>200025</xdr:rowOff>
    </xdr:from>
    <xdr:to>
      <xdr:col>19</xdr:col>
      <xdr:colOff>504825</xdr:colOff>
      <xdr:row>19</xdr:row>
      <xdr:rowOff>571500</xdr:rowOff>
    </xdr:to>
    <xdr:graphicFrame macro="">
      <xdr:nvGraphicFramePr>
        <xdr:cNvPr id="57446" name="Chart 2">
          <a:extLst>
            <a:ext uri="{FF2B5EF4-FFF2-40B4-BE49-F238E27FC236}">
              <a16:creationId xmlns:a16="http://schemas.microsoft.com/office/drawing/2014/main" id="{799BFC0B-534C-40F2-911B-742E522FA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304800</xdr:colOff>
      <xdr:row>25</xdr:row>
      <xdr:rowOff>38100</xdr:rowOff>
    </xdr:from>
    <xdr:to>
      <xdr:col>15</xdr:col>
      <xdr:colOff>314325</xdr:colOff>
      <xdr:row>46</xdr:row>
      <xdr:rowOff>76200</xdr:rowOff>
    </xdr:to>
    <xdr:graphicFrame macro="">
      <xdr:nvGraphicFramePr>
        <xdr:cNvPr id="57447" name="Chart 12">
          <a:extLst>
            <a:ext uri="{FF2B5EF4-FFF2-40B4-BE49-F238E27FC236}">
              <a16:creationId xmlns:a16="http://schemas.microsoft.com/office/drawing/2014/main" id="{C1833B36-CF1E-4032-9A9F-320CBE781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304800</xdr:colOff>
      <xdr:row>47</xdr:row>
      <xdr:rowOff>66675</xdr:rowOff>
    </xdr:from>
    <xdr:to>
      <xdr:col>15</xdr:col>
      <xdr:colOff>333375</xdr:colOff>
      <xdr:row>67</xdr:row>
      <xdr:rowOff>142875</xdr:rowOff>
    </xdr:to>
    <xdr:graphicFrame macro="">
      <xdr:nvGraphicFramePr>
        <xdr:cNvPr id="57448" name="Chart 13">
          <a:extLst>
            <a:ext uri="{FF2B5EF4-FFF2-40B4-BE49-F238E27FC236}">
              <a16:creationId xmlns:a16="http://schemas.microsoft.com/office/drawing/2014/main" id="{0368B24D-5179-4EB5-9599-EA9EF7ADB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</xdr:row>
      <xdr:rowOff>66675</xdr:rowOff>
    </xdr:from>
    <xdr:to>
      <xdr:col>19</xdr:col>
      <xdr:colOff>485775</xdr:colOff>
      <xdr:row>13</xdr:row>
      <xdr:rowOff>57150</xdr:rowOff>
    </xdr:to>
    <xdr:graphicFrame macro="">
      <xdr:nvGraphicFramePr>
        <xdr:cNvPr id="67685" name="Chart 1">
          <a:extLst>
            <a:ext uri="{FF2B5EF4-FFF2-40B4-BE49-F238E27FC236}">
              <a16:creationId xmlns:a16="http://schemas.microsoft.com/office/drawing/2014/main" id="{A5B11899-EE5E-4B03-BCED-6ACE3DAE8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13</xdr:row>
      <xdr:rowOff>200025</xdr:rowOff>
    </xdr:from>
    <xdr:to>
      <xdr:col>19</xdr:col>
      <xdr:colOff>504825</xdr:colOff>
      <xdr:row>19</xdr:row>
      <xdr:rowOff>571500</xdr:rowOff>
    </xdr:to>
    <xdr:graphicFrame macro="">
      <xdr:nvGraphicFramePr>
        <xdr:cNvPr id="67686" name="Chart 2">
          <a:extLst>
            <a:ext uri="{FF2B5EF4-FFF2-40B4-BE49-F238E27FC236}">
              <a16:creationId xmlns:a16="http://schemas.microsoft.com/office/drawing/2014/main" id="{461F36A7-BE5D-415C-AD01-B44CD9C51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276225</xdr:colOff>
      <xdr:row>25</xdr:row>
      <xdr:rowOff>95250</xdr:rowOff>
    </xdr:from>
    <xdr:to>
      <xdr:col>15</xdr:col>
      <xdr:colOff>285750</xdr:colOff>
      <xdr:row>46</xdr:row>
      <xdr:rowOff>0</xdr:rowOff>
    </xdr:to>
    <xdr:graphicFrame macro="">
      <xdr:nvGraphicFramePr>
        <xdr:cNvPr id="67687" name="Chart 12">
          <a:extLst>
            <a:ext uri="{FF2B5EF4-FFF2-40B4-BE49-F238E27FC236}">
              <a16:creationId xmlns:a16="http://schemas.microsoft.com/office/drawing/2014/main" id="{29CC8B77-A709-43ED-8B1B-652E1A2FC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46</xdr:row>
      <xdr:rowOff>171450</xdr:rowOff>
    </xdr:from>
    <xdr:to>
      <xdr:col>15</xdr:col>
      <xdr:colOff>304800</xdr:colOff>
      <xdr:row>68</xdr:row>
      <xdr:rowOff>19050</xdr:rowOff>
    </xdr:to>
    <xdr:graphicFrame macro="">
      <xdr:nvGraphicFramePr>
        <xdr:cNvPr id="67688" name="Chart 13">
          <a:extLst>
            <a:ext uri="{FF2B5EF4-FFF2-40B4-BE49-F238E27FC236}">
              <a16:creationId xmlns:a16="http://schemas.microsoft.com/office/drawing/2014/main" id="{96FFB3BC-0DC4-40F9-861F-9A05B870A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workbookViewId="0">
      <selection activeCell="A2" sqref="A2"/>
    </sheetView>
  </sheetViews>
  <sheetFormatPr defaultRowHeight="13.5"/>
  <cols>
    <col min="1" max="1" width="22.25" customWidth="1"/>
    <col min="2" max="2" width="9.125" bestFit="1" customWidth="1"/>
    <col min="3" max="3" width="9.875" bestFit="1" customWidth="1"/>
    <col min="4" max="4" width="12.625" customWidth="1"/>
    <col min="5" max="5" width="7.625" customWidth="1"/>
    <col min="6" max="6" width="9.125" bestFit="1" customWidth="1"/>
    <col min="7" max="7" width="9.375" bestFit="1" customWidth="1"/>
    <col min="8" max="8" width="12.625" customWidth="1"/>
    <col min="9" max="9" width="7.625" customWidth="1"/>
    <col min="10" max="11" width="9.125" bestFit="1" customWidth="1"/>
    <col min="12" max="12" width="12.625" customWidth="1"/>
    <col min="13" max="13" width="7.625" customWidth="1"/>
  </cols>
  <sheetData>
    <row r="1" spans="1:14" ht="21.95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ht="26.25" customHeight="1" thickBot="1">
      <c r="A2" s="63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1.95" customHeight="1" thickBot="1">
      <c r="A3" s="64" t="s">
        <v>83</v>
      </c>
      <c r="B3" s="266" t="s">
        <v>126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/>
      <c r="N3" s="65"/>
    </row>
    <row r="4" spans="1:14" ht="21.95" customHeight="1">
      <c r="A4" s="66" t="s">
        <v>84</v>
      </c>
      <c r="B4" s="269" t="s">
        <v>127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1"/>
      <c r="N4" s="65"/>
    </row>
    <row r="5" spans="1:14" ht="21.95" customHeight="1">
      <c r="A5" s="67" t="s">
        <v>85</v>
      </c>
      <c r="B5" s="272" t="s">
        <v>129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65"/>
    </row>
    <row r="6" spans="1:14" ht="21.95" customHeight="1" thickBot="1">
      <c r="A6" s="68" t="s">
        <v>86</v>
      </c>
      <c r="B6" s="275" t="s">
        <v>128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  <c r="N6" s="65"/>
    </row>
    <row r="7" spans="1:14" ht="31.5" customHeight="1">
      <c r="A7" s="66" t="s">
        <v>87</v>
      </c>
      <c r="B7" s="269" t="s">
        <v>130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1"/>
      <c r="N7" s="65"/>
    </row>
    <row r="8" spans="1:14" ht="32.25" customHeight="1" thickBot="1">
      <c r="A8" s="68" t="s">
        <v>88</v>
      </c>
      <c r="B8" s="275" t="s">
        <v>131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7"/>
      <c r="N8" s="65"/>
    </row>
    <row r="9" spans="1:14" ht="21.95" customHeight="1">
      <c r="A9" s="69"/>
      <c r="B9" s="70" t="s">
        <v>5</v>
      </c>
      <c r="C9" s="71"/>
      <c r="D9" s="71"/>
      <c r="E9" s="71"/>
      <c r="F9" s="70" t="s">
        <v>43</v>
      </c>
      <c r="G9" s="71"/>
      <c r="H9" s="71"/>
      <c r="I9" s="71"/>
      <c r="J9" s="70" t="s">
        <v>11</v>
      </c>
      <c r="K9" s="71"/>
      <c r="L9" s="71"/>
      <c r="M9" s="72"/>
      <c r="N9" s="1"/>
    </row>
    <row r="10" spans="1:14" ht="21.95" customHeight="1">
      <c r="A10" s="73"/>
      <c r="B10" s="74" t="s">
        <v>0</v>
      </c>
      <c r="C10" s="75" t="s">
        <v>1</v>
      </c>
      <c r="D10" s="76" t="s">
        <v>68</v>
      </c>
      <c r="E10" s="77" t="s">
        <v>60</v>
      </c>
      <c r="F10" s="78" t="s">
        <v>0</v>
      </c>
      <c r="G10" s="76" t="s">
        <v>1</v>
      </c>
      <c r="H10" s="76" t="s">
        <v>68</v>
      </c>
      <c r="I10" s="77" t="s">
        <v>60</v>
      </c>
      <c r="J10" s="78" t="s">
        <v>0</v>
      </c>
      <c r="K10" s="76" t="s">
        <v>1</v>
      </c>
      <c r="L10" s="76" t="s">
        <v>68</v>
      </c>
      <c r="M10" s="79" t="s">
        <v>60</v>
      </c>
      <c r="N10" s="80"/>
    </row>
    <row r="11" spans="1:14" ht="21.95" customHeight="1">
      <c r="A11" s="81" t="s">
        <v>89</v>
      </c>
      <c r="B11" s="82">
        <v>10</v>
      </c>
      <c r="C11" s="83"/>
      <c r="D11" s="84"/>
      <c r="E11" s="85"/>
      <c r="F11" s="86">
        <v>10</v>
      </c>
      <c r="G11" s="84"/>
      <c r="H11" s="84"/>
      <c r="I11" s="85"/>
      <c r="J11" s="86">
        <v>10</v>
      </c>
      <c r="K11" s="84"/>
      <c r="L11" s="84"/>
      <c r="M11" s="87"/>
      <c r="N11" s="80"/>
    </row>
    <row r="12" spans="1:14" ht="21.95" customHeight="1">
      <c r="A12" s="88" t="s">
        <v>71</v>
      </c>
      <c r="B12" s="89">
        <f>+C34</f>
        <v>12.7</v>
      </c>
      <c r="C12" s="90">
        <f>+E34</f>
        <v>8.2054748694498802E-2</v>
      </c>
      <c r="D12" s="91" t="str">
        <f t="shared" ref="D12:D17" si="0">FIXED(B12-1.96*C12,2)&amp;", "&amp;FIXED(B12+1.96*C12,2)</f>
        <v>12.54, 12.86</v>
      </c>
      <c r="E12" s="92"/>
      <c r="F12" s="93">
        <f>+C43</f>
        <v>10.9</v>
      </c>
      <c r="G12" s="94">
        <f>+E43</f>
        <v>6.3561519632268651E-2</v>
      </c>
      <c r="H12" s="91" t="str">
        <f t="shared" ref="H12:H17" si="1">FIXED(F12-1.96*G12,2)&amp;", "&amp;FIXED(F12+1.96*G12,2)</f>
        <v>10.78, 11.02</v>
      </c>
      <c r="I12" s="92"/>
      <c r="J12" s="93">
        <f>+C46</f>
        <v>11.7</v>
      </c>
      <c r="K12" s="94">
        <f>+E46</f>
        <v>5.1754147126165703E-2</v>
      </c>
      <c r="L12" s="91" t="str">
        <f t="shared" ref="L12:L17" si="2">FIXED(J12-1.96*K12,2)&amp;", "&amp;FIXED(J12+1.96*K12,2)</f>
        <v>11.60, 11.80</v>
      </c>
      <c r="M12" s="95"/>
      <c r="N12" s="96"/>
    </row>
    <row r="13" spans="1:14" ht="21.95" customHeight="1">
      <c r="A13" s="97" t="s">
        <v>90</v>
      </c>
      <c r="B13" s="98">
        <f>+C59</f>
        <v>12</v>
      </c>
      <c r="C13" s="99">
        <f>+E59</f>
        <v>8.147159132058053E-2</v>
      </c>
      <c r="D13" s="100" t="str">
        <f t="shared" si="0"/>
        <v>11.84, 12.16</v>
      </c>
      <c r="E13" s="101"/>
      <c r="F13" s="102">
        <f>+C68</f>
        <v>10.3</v>
      </c>
      <c r="G13" s="103">
        <f>+E68</f>
        <v>6.5813052637369057E-2</v>
      </c>
      <c r="H13" s="100" t="str">
        <f t="shared" si="1"/>
        <v>10.17, 10.43</v>
      </c>
      <c r="I13" s="101"/>
      <c r="J13" s="102">
        <f>+C71</f>
        <v>11.1</v>
      </c>
      <c r="K13" s="103">
        <f>+E71</f>
        <v>5.2999894000317994E-2</v>
      </c>
      <c r="L13" s="100" t="str">
        <f t="shared" si="2"/>
        <v>11.00, 11.20</v>
      </c>
      <c r="M13" s="104"/>
      <c r="N13" s="96"/>
    </row>
    <row r="14" spans="1:14" ht="21.95" customHeight="1">
      <c r="A14" s="105" t="s">
        <v>91</v>
      </c>
      <c r="B14" s="106">
        <f>+B13-B12</f>
        <v>-0.69999999999999929</v>
      </c>
      <c r="C14" s="107">
        <f>+SQRT(C12^2+C13^2)</f>
        <v>0.11563131918137511</v>
      </c>
      <c r="D14" s="108" t="str">
        <f t="shared" si="0"/>
        <v>-0.93, -0.47</v>
      </c>
      <c r="E14" s="109">
        <f>(1-NORMDIST(ABS(B14/C14),0,1,1))*2</f>
        <v>1.4153573868469493E-9</v>
      </c>
      <c r="F14" s="106">
        <f>+F13-F12</f>
        <v>-0.59999999999999964</v>
      </c>
      <c r="G14" s="107">
        <f>+SQRT(G12^2+G13^2)</f>
        <v>9.1495489918423753E-2</v>
      </c>
      <c r="H14" s="108" t="str">
        <f t="shared" si="1"/>
        <v>-0.78, -0.42</v>
      </c>
      <c r="I14" s="109">
        <f>(1-NORMDIST(ABS(F14/G14),0,1,1))*2</f>
        <v>5.4643845004420655E-11</v>
      </c>
      <c r="J14" s="106">
        <f>+J13-J12</f>
        <v>-0.59999999999999964</v>
      </c>
      <c r="K14" s="107">
        <f>+SQRT(K12^2+K13^2)</f>
        <v>7.4077530390812496E-2</v>
      </c>
      <c r="L14" s="108" t="str">
        <f t="shared" si="2"/>
        <v>-0.75, -0.45</v>
      </c>
      <c r="M14" s="110">
        <f>(1-NORMDIST(ABS(J14/K14),0,1,1))*2</f>
        <v>4.4408920985006262E-16</v>
      </c>
      <c r="N14" s="96"/>
    </row>
    <row r="15" spans="1:14" ht="21.95" customHeight="1">
      <c r="A15" s="111" t="s">
        <v>92</v>
      </c>
      <c r="B15" s="112">
        <f>+C35</f>
        <v>12.605497306097135</v>
      </c>
      <c r="C15" s="113">
        <f>+E35</f>
        <v>8.2366580900039482E-2</v>
      </c>
      <c r="D15" s="114" t="str">
        <f t="shared" si="0"/>
        <v>12.44, 12.77</v>
      </c>
      <c r="E15" s="92"/>
      <c r="F15" s="115">
        <f>+C44</f>
        <v>10.799140470560875</v>
      </c>
      <c r="G15" s="116">
        <f>+E44</f>
        <v>6.2695238845669701E-2</v>
      </c>
      <c r="H15" s="114" t="str">
        <f t="shared" si="1"/>
        <v>10.68, 10.92</v>
      </c>
      <c r="I15" s="92"/>
      <c r="J15" s="115">
        <f>+C47</f>
        <v>11.702318888329005</v>
      </c>
      <c r="K15" s="116">
        <f>+E47</f>
        <v>5.1756513172446034E-2</v>
      </c>
      <c r="L15" s="114" t="str">
        <f t="shared" si="2"/>
        <v>11.60, 11.80</v>
      </c>
      <c r="M15" s="95"/>
      <c r="N15" s="96"/>
    </row>
    <row r="16" spans="1:14" ht="21.95" customHeight="1">
      <c r="A16" s="97" t="s">
        <v>93</v>
      </c>
      <c r="B16" s="117">
        <f>+C60</f>
        <v>11.923731539982169</v>
      </c>
      <c r="C16" s="118">
        <f>+E60</f>
        <v>8.3109077893289307E-2</v>
      </c>
      <c r="D16" s="119" t="str">
        <f t="shared" si="0"/>
        <v>11.76, 12.09</v>
      </c>
      <c r="E16" s="101"/>
      <c r="F16" s="120">
        <f>+C69</f>
        <v>10.179860653513703</v>
      </c>
      <c r="G16" s="121">
        <f>+E69</f>
        <v>6.5563070839904161E-2</v>
      </c>
      <c r="H16" s="119" t="str">
        <f t="shared" si="1"/>
        <v>10.05, 10.31</v>
      </c>
      <c r="I16" s="101"/>
      <c r="J16" s="120">
        <f>+C72</f>
        <v>11.051796096747935</v>
      </c>
      <c r="K16" s="121">
        <f>+E72</f>
        <v>5.2928336187318223E-2</v>
      </c>
      <c r="L16" s="119" t="str">
        <f t="shared" si="2"/>
        <v>10.95, 11.16</v>
      </c>
      <c r="M16" s="104"/>
      <c r="N16" s="96"/>
    </row>
    <row r="17" spans="1:14" ht="21.95" customHeight="1" thickBot="1">
      <c r="A17" s="122" t="s">
        <v>91</v>
      </c>
      <c r="B17" s="123">
        <f>+B16-B15</f>
        <v>-0.68176576611496564</v>
      </c>
      <c r="C17" s="124">
        <f>+SQRT(C15^2+C16^2)</f>
        <v>0.11701013835320244</v>
      </c>
      <c r="D17" s="125" t="str">
        <f t="shared" si="0"/>
        <v>-0.91, -0.45</v>
      </c>
      <c r="E17" s="126">
        <f>(1-NORMDIST(ABS(B17/C17),0,1,1))*2</f>
        <v>5.6583921992370279E-9</v>
      </c>
      <c r="F17" s="123">
        <f>+F16-F15</f>
        <v>-0.61927981704717183</v>
      </c>
      <c r="G17" s="124">
        <f>+SQRT(G15^2+G16^2)</f>
        <v>9.0714989014351211E-2</v>
      </c>
      <c r="H17" s="125" t="str">
        <f t="shared" si="1"/>
        <v>-0.80, -0.44</v>
      </c>
      <c r="I17" s="126">
        <f>(1-NORMDIST(ABS(F17/G17),0,1,1))*2</f>
        <v>8.6917140151854255E-12</v>
      </c>
      <c r="J17" s="123">
        <f>+J16-J15</f>
        <v>-0.65052279158106963</v>
      </c>
      <c r="K17" s="124">
        <f>+SQRT(K15^2+K16^2)</f>
        <v>7.402800434516224E-2</v>
      </c>
      <c r="L17" s="125" t="str">
        <f t="shared" si="2"/>
        <v>-0.80, -0.51</v>
      </c>
      <c r="M17" s="127">
        <f>(1-NORMDIST(ABS(J17/K17),0,1,1))*2</f>
        <v>0</v>
      </c>
      <c r="N17" s="96"/>
    </row>
    <row r="18" spans="1:14" ht="80.099999999999994" customHeight="1">
      <c r="A18" s="66" t="s">
        <v>94</v>
      </c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1"/>
      <c r="N18" s="65"/>
    </row>
    <row r="19" spans="1:14" ht="80.099999999999994" customHeight="1">
      <c r="A19" s="67" t="s">
        <v>95</v>
      </c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4"/>
      <c r="N19" s="65"/>
    </row>
    <row r="20" spans="1:14" ht="51" customHeight="1" thickBot="1">
      <c r="A20" s="68" t="s">
        <v>96</v>
      </c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7"/>
      <c r="N20" s="65"/>
    </row>
    <row r="21" spans="1:14" ht="21.95" customHeight="1">
      <c r="A21" s="128" t="s">
        <v>97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4" ht="21.95" customHeight="1">
      <c r="A22" s="128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4" ht="32.25" customHeight="1">
      <c r="A23" s="264" t="s">
        <v>98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</row>
    <row r="24" spans="1:14" ht="18.75">
      <c r="A24" s="50" t="s">
        <v>71</v>
      </c>
    </row>
    <row r="25" spans="1:14" ht="18" thickBot="1">
      <c r="A25" s="9" t="s">
        <v>12</v>
      </c>
    </row>
    <row r="26" spans="1:14" ht="30" thickBot="1">
      <c r="A26" s="6" t="s">
        <v>9</v>
      </c>
      <c r="B26" s="51" t="s">
        <v>72</v>
      </c>
      <c r="C26" s="52" t="s">
        <v>0</v>
      </c>
      <c r="D26" s="51" t="s">
        <v>73</v>
      </c>
      <c r="E26" s="52" t="s">
        <v>74</v>
      </c>
      <c r="F26" s="6" t="s">
        <v>10</v>
      </c>
      <c r="G26" s="6" t="s">
        <v>8</v>
      </c>
      <c r="H26" s="6" t="s">
        <v>18</v>
      </c>
    </row>
    <row r="27" spans="1:14">
      <c r="A27" s="7" t="s">
        <v>5</v>
      </c>
      <c r="C27" s="2"/>
      <c r="E27" s="2"/>
      <c r="F27" s="2"/>
      <c r="G27" s="2"/>
      <c r="H27" s="2"/>
    </row>
    <row r="28" spans="1:14">
      <c r="A28" s="1" t="s">
        <v>144</v>
      </c>
      <c r="B28" s="53">
        <v>516</v>
      </c>
      <c r="C28" s="12">
        <v>11.7</v>
      </c>
      <c r="D28" s="12">
        <v>5.5</v>
      </c>
      <c r="E28" s="54">
        <f t="shared" ref="E28:E34" si="3">D28/SQRT(B28)</f>
        <v>0.24212399923954656</v>
      </c>
      <c r="F28" s="55">
        <v>15631</v>
      </c>
      <c r="G28" s="2">
        <f t="shared" ref="G28:G33" si="4">+C28*F28</f>
        <v>182882.69999999998</v>
      </c>
      <c r="H28" s="2">
        <f t="shared" ref="H28:H33" si="5">+E28*E28*F28*F28</f>
        <v>14323501.686531007</v>
      </c>
      <c r="I28" s="129"/>
    </row>
    <row r="29" spans="1:14">
      <c r="A29" s="1" t="s">
        <v>145</v>
      </c>
      <c r="B29" s="53">
        <v>671</v>
      </c>
      <c r="C29" s="12">
        <v>12</v>
      </c>
      <c r="D29" s="12">
        <v>4.8</v>
      </c>
      <c r="E29" s="54">
        <f t="shared" si="3"/>
        <v>0.1853019447557239</v>
      </c>
      <c r="F29" s="55">
        <v>18491</v>
      </c>
      <c r="G29" s="2">
        <f t="shared" si="4"/>
        <v>221892</v>
      </c>
      <c r="H29" s="2">
        <f t="shared" si="5"/>
        <v>11740342.095737705</v>
      </c>
      <c r="I29" s="129"/>
    </row>
    <row r="30" spans="1:14">
      <c r="A30" s="1" t="s">
        <v>146</v>
      </c>
      <c r="B30" s="53">
        <v>643</v>
      </c>
      <c r="C30" s="12">
        <v>12.7</v>
      </c>
      <c r="D30" s="12">
        <v>5.0999999999999996</v>
      </c>
      <c r="E30" s="54">
        <f t="shared" si="3"/>
        <v>0.20112436671490022</v>
      </c>
      <c r="F30" s="55">
        <v>15806</v>
      </c>
      <c r="G30" s="2">
        <f t="shared" si="4"/>
        <v>200736.19999999998</v>
      </c>
      <c r="H30" s="2">
        <f t="shared" si="5"/>
        <v>10105861.325598754</v>
      </c>
      <c r="I30" s="129"/>
    </row>
    <row r="31" spans="1:14">
      <c r="A31" s="1" t="s">
        <v>147</v>
      </c>
      <c r="B31" s="53">
        <v>816</v>
      </c>
      <c r="C31" s="12">
        <v>13.4</v>
      </c>
      <c r="D31" s="12">
        <v>5.8</v>
      </c>
      <c r="E31" s="54">
        <f t="shared" si="3"/>
        <v>0.20304061218406141</v>
      </c>
      <c r="F31" s="55">
        <v>19052</v>
      </c>
      <c r="G31" s="2">
        <f t="shared" si="4"/>
        <v>255296.80000000002</v>
      </c>
      <c r="H31" s="2">
        <f t="shared" si="5"/>
        <v>14963975.003137253</v>
      </c>
      <c r="I31" s="129"/>
    </row>
    <row r="32" spans="1:14">
      <c r="A32" s="1" t="s">
        <v>148</v>
      </c>
      <c r="B32" s="53">
        <v>771</v>
      </c>
      <c r="C32" s="12">
        <v>13.5</v>
      </c>
      <c r="D32" s="12">
        <v>5.4</v>
      </c>
      <c r="E32" s="54">
        <f t="shared" si="3"/>
        <v>0.19447624963771734</v>
      </c>
      <c r="F32" s="55">
        <v>15977</v>
      </c>
      <c r="G32" s="2">
        <f t="shared" si="4"/>
        <v>215689.5</v>
      </c>
      <c r="H32" s="2">
        <f t="shared" si="5"/>
        <v>9654362.7310505845</v>
      </c>
      <c r="I32" s="129"/>
    </row>
    <row r="33" spans="1:9">
      <c r="A33" s="1" t="s">
        <v>149</v>
      </c>
      <c r="B33" s="53">
        <v>755</v>
      </c>
      <c r="C33" s="12">
        <v>12.3</v>
      </c>
      <c r="D33" s="12">
        <v>5.0999999999999996</v>
      </c>
      <c r="E33" s="54">
        <f t="shared" si="3"/>
        <v>0.18560800393794394</v>
      </c>
      <c r="F33" s="55">
        <v>18239</v>
      </c>
      <c r="G33" s="2">
        <f t="shared" si="4"/>
        <v>224339.7</v>
      </c>
      <c r="H33" s="2">
        <f t="shared" si="5"/>
        <v>11460285.771139072</v>
      </c>
      <c r="I33" s="129"/>
    </row>
    <row r="34" spans="1:9">
      <c r="A34" s="1" t="s">
        <v>150</v>
      </c>
      <c r="B34" s="53">
        <v>4172</v>
      </c>
      <c r="C34" s="12">
        <v>12.7</v>
      </c>
      <c r="D34" s="12">
        <v>5.3</v>
      </c>
      <c r="E34" s="54">
        <f t="shared" si="3"/>
        <v>8.2054748694498802E-2</v>
      </c>
      <c r="F34" s="2">
        <f>SUM(F28:F33)</f>
        <v>103196</v>
      </c>
      <c r="G34" s="2">
        <f>+SUM(G28:G33)</f>
        <v>1300836.8999999999</v>
      </c>
      <c r="H34" s="2">
        <f>+SUM(H28:H33)</f>
        <v>72248328.613194376</v>
      </c>
    </row>
    <row r="35" spans="1:9">
      <c r="A35" s="3" t="s">
        <v>4</v>
      </c>
      <c r="B35" s="56" t="s">
        <v>123</v>
      </c>
      <c r="C35" s="13">
        <f>+G34/F34</f>
        <v>12.605497306097135</v>
      </c>
      <c r="D35" s="57" t="s">
        <v>123</v>
      </c>
      <c r="E35" s="13">
        <f>SQRT(H34)/F34</f>
        <v>8.2366580900039482E-2</v>
      </c>
      <c r="F35" s="2"/>
      <c r="G35" s="2"/>
      <c r="H35" s="2"/>
    </row>
    <row r="36" spans="1:9">
      <c r="A36" s="7" t="s">
        <v>6</v>
      </c>
      <c r="B36" s="58"/>
      <c r="C36" s="14"/>
      <c r="D36" s="14"/>
      <c r="E36" s="14"/>
      <c r="F36" s="2"/>
      <c r="G36" s="2"/>
      <c r="H36" s="2"/>
    </row>
    <row r="37" spans="1:9">
      <c r="A37" s="1" t="s">
        <v>75</v>
      </c>
      <c r="B37" s="53">
        <v>552</v>
      </c>
      <c r="C37" s="12">
        <v>9.8000000000000007</v>
      </c>
      <c r="D37" s="12">
        <v>3.8</v>
      </c>
      <c r="E37" s="54">
        <f t="shared" ref="E37:E43" si="6">D37/SQRT(B37)</f>
        <v>0.16173874084416223</v>
      </c>
      <c r="F37" s="55">
        <v>15631</v>
      </c>
      <c r="G37" s="55">
        <f t="shared" ref="G37:G42" si="7">+C37*F37</f>
        <v>153183.80000000002</v>
      </c>
      <c r="H37" s="55">
        <f t="shared" ref="H37:H42" si="8">+E37*E37*F37*F37</f>
        <v>6391483.0522463778</v>
      </c>
    </row>
    <row r="38" spans="1:9">
      <c r="A38" s="1" t="s">
        <v>76</v>
      </c>
      <c r="B38" s="53">
        <v>722</v>
      </c>
      <c r="C38" s="12">
        <v>9.9</v>
      </c>
      <c r="D38" s="12">
        <v>4</v>
      </c>
      <c r="E38" s="54">
        <f t="shared" si="6"/>
        <v>0.14886458551295736</v>
      </c>
      <c r="F38" s="55">
        <v>18491</v>
      </c>
      <c r="G38" s="55">
        <f t="shared" si="7"/>
        <v>183060.9</v>
      </c>
      <c r="H38" s="55">
        <f t="shared" si="8"/>
        <v>7577109.8282548469</v>
      </c>
    </row>
    <row r="39" spans="1:9">
      <c r="A39" s="1" t="s">
        <v>78</v>
      </c>
      <c r="B39" s="53">
        <v>688</v>
      </c>
      <c r="C39" s="12">
        <v>10.9</v>
      </c>
      <c r="D39" s="12">
        <v>4.3</v>
      </c>
      <c r="E39" s="54">
        <f t="shared" si="6"/>
        <v>0.16393596310755001</v>
      </c>
      <c r="F39" s="55">
        <v>15806</v>
      </c>
      <c r="G39" s="55">
        <f t="shared" si="7"/>
        <v>172285.4</v>
      </c>
      <c r="H39" s="55">
        <f t="shared" si="8"/>
        <v>6714171.4675000003</v>
      </c>
    </row>
    <row r="40" spans="1:9">
      <c r="A40" s="1" t="s">
        <v>79</v>
      </c>
      <c r="B40" s="53">
        <v>914</v>
      </c>
      <c r="C40" s="12">
        <v>11.4</v>
      </c>
      <c r="D40" s="12">
        <v>4.4000000000000004</v>
      </c>
      <c r="E40" s="54">
        <f t="shared" si="6"/>
        <v>0.14553906436423697</v>
      </c>
      <c r="F40" s="55">
        <v>19052</v>
      </c>
      <c r="G40" s="55">
        <f t="shared" si="7"/>
        <v>217192.80000000002</v>
      </c>
      <c r="H40" s="55">
        <f t="shared" si="8"/>
        <v>7688476.70617068</v>
      </c>
    </row>
    <row r="41" spans="1:9">
      <c r="A41" s="1" t="s">
        <v>80</v>
      </c>
      <c r="B41" s="53">
        <v>871</v>
      </c>
      <c r="C41" s="12">
        <v>12</v>
      </c>
      <c r="D41" s="12">
        <v>4.8</v>
      </c>
      <c r="E41" s="54">
        <f t="shared" si="6"/>
        <v>0.1626417954172073</v>
      </c>
      <c r="F41" s="55">
        <v>15977</v>
      </c>
      <c r="G41" s="55">
        <f t="shared" si="7"/>
        <v>191724</v>
      </c>
      <c r="H41" s="55">
        <f t="shared" si="8"/>
        <v>6752347.58686567</v>
      </c>
    </row>
    <row r="42" spans="1:9">
      <c r="A42" s="1" t="s">
        <v>2</v>
      </c>
      <c r="B42" s="53">
        <v>1045</v>
      </c>
      <c r="C42" s="12">
        <v>10.8</v>
      </c>
      <c r="D42" s="12">
        <v>4.5999999999999996</v>
      </c>
      <c r="E42" s="54">
        <f t="shared" si="6"/>
        <v>0.14229829172464156</v>
      </c>
      <c r="F42" s="55">
        <v>18239</v>
      </c>
      <c r="G42" s="55">
        <f t="shared" si="7"/>
        <v>196981.2</v>
      </c>
      <c r="H42" s="55">
        <f t="shared" si="8"/>
        <v>6735989.7802488031</v>
      </c>
    </row>
    <row r="43" spans="1:9">
      <c r="A43" s="1" t="s">
        <v>3</v>
      </c>
      <c r="B43" s="53">
        <v>4792</v>
      </c>
      <c r="C43" s="12">
        <v>10.9</v>
      </c>
      <c r="D43" s="12">
        <v>4.4000000000000004</v>
      </c>
      <c r="E43" s="54">
        <f t="shared" si="6"/>
        <v>6.3561519632268651E-2</v>
      </c>
      <c r="F43" s="55">
        <f>SUM(F37:F42)</f>
        <v>103196</v>
      </c>
      <c r="G43" s="55">
        <f>+SUM(G37:G42)</f>
        <v>1114428.1000000001</v>
      </c>
      <c r="H43" s="55">
        <f>+SUM(H37:H42)</f>
        <v>41859578.421286382</v>
      </c>
    </row>
    <row r="44" spans="1:9">
      <c r="A44" s="3" t="s">
        <v>4</v>
      </c>
      <c r="B44" s="56" t="s">
        <v>123</v>
      </c>
      <c r="C44" s="13">
        <f>+G43/F43</f>
        <v>10.799140470560875</v>
      </c>
      <c r="D44" s="57" t="s">
        <v>123</v>
      </c>
      <c r="E44" s="13">
        <f>SQRT(H43)/F43</f>
        <v>6.2695238845669701E-2</v>
      </c>
      <c r="F44" s="1"/>
      <c r="G44" s="1"/>
      <c r="H44" s="1"/>
    </row>
    <row r="45" spans="1:9">
      <c r="A45" s="8" t="s">
        <v>11</v>
      </c>
      <c r="B45" s="59"/>
      <c r="F45" s="1"/>
      <c r="G45" s="1"/>
      <c r="H45" s="1"/>
    </row>
    <row r="46" spans="1:9">
      <c r="A46" s="1" t="s">
        <v>124</v>
      </c>
      <c r="B46" s="53">
        <v>8964</v>
      </c>
      <c r="C46" s="12">
        <v>11.7</v>
      </c>
      <c r="D46" s="145">
        <v>4.9000000000000004</v>
      </c>
      <c r="E46" s="54">
        <f>D46/SQRT(B46)</f>
        <v>5.1754147126165703E-2</v>
      </c>
      <c r="F46" s="1"/>
      <c r="G46" s="1"/>
      <c r="H46" s="1"/>
    </row>
    <row r="47" spans="1:9" ht="14.25" thickBot="1">
      <c r="A47" s="4" t="s">
        <v>7</v>
      </c>
      <c r="B47" s="60" t="s">
        <v>125</v>
      </c>
      <c r="C47" s="15">
        <f>+(G34+G43)/(F34+F43)</f>
        <v>11.702318888329005</v>
      </c>
      <c r="D47" s="61" t="s">
        <v>125</v>
      </c>
      <c r="E47" s="15">
        <f>+SQRT(H34+H43)/(F34+F43)</f>
        <v>5.1756513172446034E-2</v>
      </c>
      <c r="F47" s="5"/>
      <c r="G47" s="5"/>
      <c r="H47" s="5"/>
    </row>
    <row r="49" spans="1:8" ht="18.75">
      <c r="A49" s="50" t="s">
        <v>67</v>
      </c>
    </row>
    <row r="50" spans="1:8" ht="18" thickBot="1">
      <c r="A50" s="9" t="s">
        <v>12</v>
      </c>
    </row>
    <row r="51" spans="1:8" ht="30" thickBot="1">
      <c r="A51" s="6" t="s">
        <v>9</v>
      </c>
      <c r="B51" s="51" t="s">
        <v>72</v>
      </c>
      <c r="C51" s="52" t="s">
        <v>0</v>
      </c>
      <c r="D51" s="51" t="s">
        <v>73</v>
      </c>
      <c r="E51" s="52" t="s">
        <v>74</v>
      </c>
      <c r="F51" s="6" t="s">
        <v>10</v>
      </c>
      <c r="G51" s="6" t="s">
        <v>8</v>
      </c>
      <c r="H51" s="6" t="s">
        <v>18</v>
      </c>
    </row>
    <row r="52" spans="1:8">
      <c r="A52" s="7" t="s">
        <v>5</v>
      </c>
      <c r="C52" s="2"/>
      <c r="E52" s="2"/>
      <c r="F52" s="2"/>
      <c r="G52" s="2"/>
      <c r="H52" s="2"/>
    </row>
    <row r="53" spans="1:8">
      <c r="A53" s="1" t="s">
        <v>144</v>
      </c>
      <c r="B53" s="53">
        <v>304</v>
      </c>
      <c r="C53" s="12">
        <v>11.4</v>
      </c>
      <c r="D53" s="12">
        <v>4.5</v>
      </c>
      <c r="E53" s="54">
        <f t="shared" ref="E53:E59" si="9">D53/SQRT(B53)</f>
        <v>0.25809270060438194</v>
      </c>
      <c r="F53" s="55">
        <v>15631</v>
      </c>
      <c r="G53" s="2">
        <f t="shared" ref="G53:G58" si="10">+C53*F53</f>
        <v>178193.4</v>
      </c>
      <c r="H53" s="2">
        <f t="shared" ref="H53:H58" si="11">+E53*E53*F53*F53</f>
        <v>16275148.88240131</v>
      </c>
    </row>
    <row r="54" spans="1:8">
      <c r="A54" s="1" t="s">
        <v>145</v>
      </c>
      <c r="B54" s="53">
        <v>540</v>
      </c>
      <c r="C54" s="12">
        <v>11.3</v>
      </c>
      <c r="D54" s="12">
        <v>4.4000000000000004</v>
      </c>
      <c r="E54" s="54">
        <f t="shared" si="9"/>
        <v>0.18934585248125152</v>
      </c>
      <c r="F54" s="55">
        <v>18491</v>
      </c>
      <c r="G54" s="2">
        <f t="shared" si="10"/>
        <v>208948.30000000002</v>
      </c>
      <c r="H54" s="2">
        <f t="shared" si="11"/>
        <v>12258360.533629633</v>
      </c>
    </row>
    <row r="55" spans="1:8">
      <c r="A55" s="1" t="s">
        <v>146</v>
      </c>
      <c r="B55" s="53">
        <v>537</v>
      </c>
      <c r="C55" s="12">
        <v>11.7</v>
      </c>
      <c r="D55" s="12">
        <v>4.4000000000000004</v>
      </c>
      <c r="E55" s="54">
        <f t="shared" si="9"/>
        <v>0.18987401488092537</v>
      </c>
      <c r="F55" s="55">
        <v>15806</v>
      </c>
      <c r="G55" s="2">
        <f t="shared" si="10"/>
        <v>184930.19999999998</v>
      </c>
      <c r="H55" s="2">
        <f t="shared" si="11"/>
        <v>9006893.3947113603</v>
      </c>
    </row>
    <row r="56" spans="1:8">
      <c r="A56" s="1" t="s">
        <v>147</v>
      </c>
      <c r="B56" s="53">
        <v>587</v>
      </c>
      <c r="C56" s="12">
        <v>12.6</v>
      </c>
      <c r="D56" s="12">
        <v>5</v>
      </c>
      <c r="E56" s="54">
        <f t="shared" si="9"/>
        <v>0.20637208585324901</v>
      </c>
      <c r="F56" s="55">
        <v>19052</v>
      </c>
      <c r="G56" s="2">
        <f t="shared" si="10"/>
        <v>240055.19999999998</v>
      </c>
      <c r="H56" s="2">
        <f t="shared" si="11"/>
        <v>15459058.943781942</v>
      </c>
    </row>
    <row r="57" spans="1:8">
      <c r="A57" s="1" t="s">
        <v>148</v>
      </c>
      <c r="B57" s="53">
        <v>664</v>
      </c>
      <c r="C57" s="12">
        <v>12.6</v>
      </c>
      <c r="D57" s="12">
        <v>5.0999999999999996</v>
      </c>
      <c r="E57" s="54">
        <f t="shared" si="9"/>
        <v>0.19791838405511486</v>
      </c>
      <c r="F57" s="55">
        <v>15977</v>
      </c>
      <c r="G57" s="2">
        <f t="shared" si="10"/>
        <v>201310.19999999998</v>
      </c>
      <c r="H57" s="2">
        <f t="shared" si="11"/>
        <v>9999142.1676054187</v>
      </c>
    </row>
    <row r="58" spans="1:8">
      <c r="A58" s="1" t="s">
        <v>149</v>
      </c>
      <c r="B58" s="53">
        <v>696</v>
      </c>
      <c r="C58" s="12">
        <v>11.9</v>
      </c>
      <c r="D58" s="12">
        <v>4.7</v>
      </c>
      <c r="E58" s="54">
        <f t="shared" si="9"/>
        <v>0.17815304024104231</v>
      </c>
      <c r="F58" s="55">
        <v>18239</v>
      </c>
      <c r="G58" s="2">
        <f t="shared" si="10"/>
        <v>217044.1</v>
      </c>
      <c r="H58" s="2">
        <f t="shared" si="11"/>
        <v>10558166.900704024</v>
      </c>
    </row>
    <row r="59" spans="1:8">
      <c r="A59" s="1" t="s">
        <v>150</v>
      </c>
      <c r="B59" s="53">
        <v>3328</v>
      </c>
      <c r="C59" s="12">
        <v>12</v>
      </c>
      <c r="D59" s="12">
        <v>4.7</v>
      </c>
      <c r="E59" s="54">
        <f t="shared" si="9"/>
        <v>8.147159132058053E-2</v>
      </c>
      <c r="F59" s="2">
        <f>SUM(F53:F58)</f>
        <v>103196</v>
      </c>
      <c r="G59" s="2">
        <f>+SUM(G53:G58)</f>
        <v>1230481.3999999999</v>
      </c>
      <c r="H59" s="2">
        <f>+SUM(H53:H58)</f>
        <v>73556770.822833687</v>
      </c>
    </row>
    <row r="60" spans="1:8">
      <c r="A60" s="3" t="s">
        <v>4</v>
      </c>
      <c r="B60" s="56" t="s">
        <v>123</v>
      </c>
      <c r="C60" s="13">
        <f>+G59/F59</f>
        <v>11.923731539982169</v>
      </c>
      <c r="D60" s="57" t="s">
        <v>123</v>
      </c>
      <c r="E60" s="13">
        <f>SQRT(H59)/F59</f>
        <v>8.3109077893289307E-2</v>
      </c>
      <c r="F60" s="2"/>
      <c r="G60" s="2"/>
      <c r="H60" s="2"/>
    </row>
    <row r="61" spans="1:8">
      <c r="A61" s="7" t="s">
        <v>6</v>
      </c>
      <c r="B61" s="58"/>
      <c r="C61" s="14"/>
      <c r="D61" s="14"/>
      <c r="E61" s="48"/>
      <c r="F61" s="2"/>
      <c r="G61" s="2"/>
      <c r="H61" s="2"/>
    </row>
    <row r="62" spans="1:8">
      <c r="A62" s="1" t="s">
        <v>75</v>
      </c>
      <c r="B62" s="53">
        <v>361</v>
      </c>
      <c r="C62" s="12">
        <v>9.4</v>
      </c>
      <c r="D62" s="12">
        <v>3.7</v>
      </c>
      <c r="E62" s="54">
        <f t="shared" ref="E62:E68" si="12">D62/SQRT(B62)</f>
        <v>0.19473684210526318</v>
      </c>
      <c r="F62" s="55">
        <v>15631</v>
      </c>
      <c r="G62" s="55">
        <f t="shared" ref="G62:G67" si="13">+C62*F62</f>
        <v>146931.4</v>
      </c>
      <c r="H62" s="55">
        <f t="shared" ref="H62:H67" si="14">+E62*E62*F62*F62</f>
        <v>9265519.4573130216</v>
      </c>
    </row>
    <row r="63" spans="1:8">
      <c r="A63" s="1" t="s">
        <v>76</v>
      </c>
      <c r="B63" s="53">
        <v>661</v>
      </c>
      <c r="C63" s="12">
        <v>9.6</v>
      </c>
      <c r="D63" s="12">
        <v>3.7</v>
      </c>
      <c r="E63" s="54">
        <f t="shared" si="12"/>
        <v>0.1439133206931166</v>
      </c>
      <c r="F63" s="55">
        <v>18491</v>
      </c>
      <c r="G63" s="55">
        <f t="shared" si="13"/>
        <v>177513.60000000001</v>
      </c>
      <c r="H63" s="55">
        <f t="shared" si="14"/>
        <v>7081459.6654916815</v>
      </c>
    </row>
    <row r="64" spans="1:8">
      <c r="A64" s="1" t="s">
        <v>78</v>
      </c>
      <c r="B64" s="53">
        <v>570</v>
      </c>
      <c r="C64" s="12">
        <v>9.9</v>
      </c>
      <c r="D64" s="12">
        <v>3.8</v>
      </c>
      <c r="E64" s="54">
        <f t="shared" si="12"/>
        <v>0.15916448515084428</v>
      </c>
      <c r="F64" s="55">
        <v>15806</v>
      </c>
      <c r="G64" s="55">
        <f t="shared" si="13"/>
        <v>156479.4</v>
      </c>
      <c r="H64" s="55">
        <f t="shared" si="14"/>
        <v>6329017.4453333318</v>
      </c>
    </row>
    <row r="65" spans="1:8">
      <c r="A65" s="1" t="s">
        <v>79</v>
      </c>
      <c r="B65" s="53">
        <v>681</v>
      </c>
      <c r="C65" s="12">
        <v>10.8</v>
      </c>
      <c r="D65" s="12">
        <v>4.2</v>
      </c>
      <c r="E65" s="54">
        <f t="shared" si="12"/>
        <v>0.16094434970026295</v>
      </c>
      <c r="F65" s="55">
        <v>19052</v>
      </c>
      <c r="G65" s="55">
        <f t="shared" si="13"/>
        <v>205761.6</v>
      </c>
      <c r="H65" s="55">
        <f t="shared" si="14"/>
        <v>9402267.7511894275</v>
      </c>
    </row>
    <row r="66" spans="1:8">
      <c r="A66" s="1" t="s">
        <v>80</v>
      </c>
      <c r="B66" s="53">
        <v>762</v>
      </c>
      <c r="C66" s="12">
        <v>10.9</v>
      </c>
      <c r="D66" s="12">
        <v>4.5999999999999996</v>
      </c>
      <c r="E66" s="54">
        <f t="shared" si="12"/>
        <v>0.16664041788051023</v>
      </c>
      <c r="F66" s="55">
        <v>15977</v>
      </c>
      <c r="G66" s="55">
        <f t="shared" si="13"/>
        <v>174149.30000000002</v>
      </c>
      <c r="H66" s="55">
        <f t="shared" si="14"/>
        <v>7088448.0756430449</v>
      </c>
    </row>
    <row r="67" spans="1:8">
      <c r="A67" s="1" t="s">
        <v>2</v>
      </c>
      <c r="B67" s="53">
        <v>846</v>
      </c>
      <c r="C67" s="12">
        <v>10.4</v>
      </c>
      <c r="D67" s="12">
        <v>4.0999999999999996</v>
      </c>
      <c r="E67" s="54">
        <f t="shared" si="12"/>
        <v>0.14096090365536842</v>
      </c>
      <c r="F67" s="55">
        <v>18239</v>
      </c>
      <c r="G67" s="55">
        <f t="shared" si="13"/>
        <v>189685.6</v>
      </c>
      <c r="H67" s="55">
        <f t="shared" si="14"/>
        <v>6609968.6099408977</v>
      </c>
    </row>
    <row r="68" spans="1:8">
      <c r="A68" s="1" t="s">
        <v>3</v>
      </c>
      <c r="B68" s="53">
        <v>3881</v>
      </c>
      <c r="C68" s="12">
        <v>10.3</v>
      </c>
      <c r="D68" s="12">
        <v>4.0999999999999996</v>
      </c>
      <c r="E68" s="54">
        <f t="shared" si="12"/>
        <v>6.5813052637369057E-2</v>
      </c>
      <c r="F68" s="55">
        <f>SUM(F62:F67)</f>
        <v>103196</v>
      </c>
      <c r="G68" s="55">
        <f>+SUM(G62:G67)</f>
        <v>1050520.9000000001</v>
      </c>
      <c r="H68" s="55">
        <f>+SUM(H62:H67)</f>
        <v>45776681.004911408</v>
      </c>
    </row>
    <row r="69" spans="1:8">
      <c r="A69" s="3" t="s">
        <v>4</v>
      </c>
      <c r="B69" s="56" t="s">
        <v>123</v>
      </c>
      <c r="C69" s="13">
        <f>+G68/F68</f>
        <v>10.179860653513703</v>
      </c>
      <c r="D69" s="57" t="s">
        <v>123</v>
      </c>
      <c r="E69" s="13">
        <f>SQRT(H68)/F68</f>
        <v>6.5563070839904161E-2</v>
      </c>
      <c r="F69" s="1"/>
      <c r="G69" s="1"/>
      <c r="H69" s="1"/>
    </row>
    <row r="70" spans="1:8">
      <c r="A70" s="8" t="s">
        <v>11</v>
      </c>
      <c r="B70" s="59"/>
      <c r="E70" s="130"/>
      <c r="F70" s="1"/>
      <c r="G70" s="1"/>
      <c r="H70" s="1"/>
    </row>
    <row r="71" spans="1:8">
      <c r="A71" s="1" t="s">
        <v>124</v>
      </c>
      <c r="B71" s="53">
        <v>7209</v>
      </c>
      <c r="C71" s="12">
        <v>11.1</v>
      </c>
      <c r="D71" s="145">
        <v>4.5</v>
      </c>
      <c r="E71" s="54">
        <f>D71/SQRT(B71)</f>
        <v>5.2999894000317994E-2</v>
      </c>
      <c r="F71" s="1"/>
      <c r="G71" s="1"/>
      <c r="H71" s="1"/>
    </row>
    <row r="72" spans="1:8" ht="14.25" thickBot="1">
      <c r="A72" s="4" t="s">
        <v>7</v>
      </c>
      <c r="B72" s="60" t="s">
        <v>125</v>
      </c>
      <c r="C72" s="15">
        <f>+(G59+G68)/(F59+F68)</f>
        <v>11.051796096747935</v>
      </c>
      <c r="D72" s="61" t="s">
        <v>125</v>
      </c>
      <c r="E72" s="15">
        <f>+SQRT(H59+H68)/(F59+F68)</f>
        <v>5.2928336187318223E-2</v>
      </c>
      <c r="F72" s="5"/>
      <c r="G72" s="5"/>
      <c r="H72" s="5"/>
    </row>
  </sheetData>
  <mergeCells count="10">
    <mergeCell ref="A23:L23"/>
    <mergeCell ref="B3:M3"/>
    <mergeCell ref="B4:M4"/>
    <mergeCell ref="B5:M5"/>
    <mergeCell ref="B6:M6"/>
    <mergeCell ref="B20:M20"/>
    <mergeCell ref="B19:M19"/>
    <mergeCell ref="B7:M7"/>
    <mergeCell ref="B8:M8"/>
    <mergeCell ref="B18:M18"/>
  </mergeCells>
  <phoneticPr fontId="2"/>
  <pageMargins left="0.75" right="0.75" top="1" bottom="1" header="0.51200000000000001" footer="0.51200000000000001"/>
  <pageSetup paperSize="9" scale="65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A7C3-1D18-4D52-8C2E-7F87283C55B9}">
  <dimension ref="A1:P20"/>
  <sheetViews>
    <sheetView tabSelected="1" topLeftCell="A2" zoomScale="98" zoomScaleNormal="98" workbookViewId="0">
      <selection activeCell="A43" sqref="A43"/>
    </sheetView>
  </sheetViews>
  <sheetFormatPr defaultRowHeight="13.5"/>
  <cols>
    <col min="1" max="1" width="16.75" customWidth="1"/>
  </cols>
  <sheetData>
    <row r="1" spans="1:16" ht="17.25">
      <c r="A1" s="205" t="s">
        <v>342</v>
      </c>
      <c r="B1" s="206"/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8"/>
      <c r="P1" s="208"/>
    </row>
    <row r="2" spans="1:16" ht="17.25">
      <c r="A2" s="205"/>
      <c r="B2" s="206"/>
      <c r="C2" s="206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8"/>
      <c r="P2" s="208"/>
    </row>
    <row r="3" spans="1:16">
      <c r="A3" s="209" t="s">
        <v>343</v>
      </c>
      <c r="B3" s="209"/>
      <c r="C3" s="209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  <c r="P3" s="208"/>
    </row>
    <row r="4" spans="1:16">
      <c r="A4" s="209" t="s">
        <v>344</v>
      </c>
      <c r="B4" s="209"/>
      <c r="C4" s="20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08"/>
    </row>
    <row r="5" spans="1:16" ht="14.25" thickBot="1">
      <c r="A5" s="210" t="s">
        <v>345</v>
      </c>
      <c r="B5" s="210"/>
      <c r="C5" s="210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16" ht="16.5" thickBot="1">
      <c r="A6" s="211" t="s">
        <v>346</v>
      </c>
      <c r="B6" s="212" t="s">
        <v>347</v>
      </c>
      <c r="C6" s="213" t="s">
        <v>348</v>
      </c>
      <c r="D6" s="214" t="s">
        <v>349</v>
      </c>
      <c r="E6" s="215" t="str">
        <f>+B6&amp;"の割合"</f>
        <v>Aの割合</v>
      </c>
      <c r="F6" s="216" t="str">
        <f>"P"&amp;IF(O7&gt;0,"(増加)","(減少)")</f>
        <v>P(増加)</v>
      </c>
      <c r="G6" s="217" t="s">
        <v>350</v>
      </c>
      <c r="H6" s="217" t="s">
        <v>351</v>
      </c>
      <c r="I6" s="217" t="s">
        <v>352</v>
      </c>
      <c r="J6" s="217" t="s">
        <v>353</v>
      </c>
      <c r="K6" s="217" t="s">
        <v>354</v>
      </c>
      <c r="L6" s="217" t="s">
        <v>355</v>
      </c>
      <c r="M6" s="217" t="s">
        <v>356</v>
      </c>
      <c r="N6" s="217" t="s">
        <v>357</v>
      </c>
      <c r="O6" s="217" t="s">
        <v>358</v>
      </c>
      <c r="P6" s="217" t="s">
        <v>359</v>
      </c>
    </row>
    <row r="7" spans="1:16">
      <c r="A7" s="218" t="s">
        <v>360</v>
      </c>
      <c r="B7" s="219">
        <v>6</v>
      </c>
      <c r="C7" s="220">
        <v>14</v>
      </c>
      <c r="D7" s="217">
        <f>SUM(B7:C7)</f>
        <v>20</v>
      </c>
      <c r="E7" s="221">
        <f>+B7/D7</f>
        <v>0.3</v>
      </c>
      <c r="F7" s="217">
        <f>+P7</f>
        <v>0.76316888589763776</v>
      </c>
      <c r="G7" s="217">
        <f t="shared" ref="G7:G16" si="0">+D7*E7</f>
        <v>6</v>
      </c>
      <c r="H7" s="217">
        <v>0</v>
      </c>
      <c r="I7" s="217">
        <f t="shared" ref="I7:I16" si="1">+D7*H7</f>
        <v>0</v>
      </c>
      <c r="J7" s="217">
        <f t="shared" ref="J7:J16" si="2">+D7*H7^2</f>
        <v>0</v>
      </c>
      <c r="K7" s="217">
        <f t="shared" ref="K7:K16" si="3">+G7*H7</f>
        <v>0</v>
      </c>
      <c r="L7" s="217">
        <f>+K17</f>
        <v>111</v>
      </c>
      <c r="M7" s="217">
        <f>+G17*I17/D17</f>
        <v>107.25</v>
      </c>
      <c r="N7" s="217">
        <f>G17*(D17-G17)/(D17*D17*(D17-1))*(D17*J17-I17*I17)</f>
        <v>154.88185736677116</v>
      </c>
      <c r="O7" s="217">
        <f>(L7-M7)/SQRT(N7)</f>
        <v>0.30132210567095719</v>
      </c>
      <c r="P7" s="217">
        <f>2*(1-NORMDIST(ABS(O7),0,1,1))</f>
        <v>0.76316888589763776</v>
      </c>
    </row>
    <row r="8" spans="1:16">
      <c r="A8" s="222" t="s">
        <v>361</v>
      </c>
      <c r="B8" s="223">
        <v>7</v>
      </c>
      <c r="C8" s="224">
        <v>13</v>
      </c>
      <c r="D8" s="217">
        <f t="shared" ref="D8:D10" si="4">SUM(B8:C8)</f>
        <v>20</v>
      </c>
      <c r="E8" s="221">
        <f t="shared" ref="E8:E16" si="5">+B8/D8</f>
        <v>0.35</v>
      </c>
      <c r="F8" s="207"/>
      <c r="G8" s="217">
        <f t="shared" si="0"/>
        <v>7</v>
      </c>
      <c r="H8" s="217">
        <v>1</v>
      </c>
      <c r="I8" s="217">
        <f t="shared" si="1"/>
        <v>20</v>
      </c>
      <c r="J8" s="217">
        <f t="shared" si="2"/>
        <v>20</v>
      </c>
      <c r="K8" s="217">
        <f t="shared" si="3"/>
        <v>7</v>
      </c>
      <c r="L8" s="217"/>
      <c r="M8" s="217"/>
      <c r="N8" s="217"/>
      <c r="O8" s="217"/>
      <c r="P8" s="217"/>
    </row>
    <row r="9" spans="1:16">
      <c r="A9" s="222" t="s">
        <v>362</v>
      </c>
      <c r="B9" s="223">
        <v>7</v>
      </c>
      <c r="C9" s="224">
        <v>3</v>
      </c>
      <c r="D9" s="217">
        <f t="shared" si="4"/>
        <v>10</v>
      </c>
      <c r="E9" s="221">
        <f t="shared" si="5"/>
        <v>0.7</v>
      </c>
      <c r="F9" s="225"/>
      <c r="G9" s="217">
        <f t="shared" si="0"/>
        <v>7</v>
      </c>
      <c r="H9" s="217">
        <v>2</v>
      </c>
      <c r="I9" s="217">
        <f t="shared" si="1"/>
        <v>20</v>
      </c>
      <c r="J9" s="217">
        <f t="shared" si="2"/>
        <v>40</v>
      </c>
      <c r="K9" s="217">
        <f t="shared" si="3"/>
        <v>14</v>
      </c>
      <c r="L9" s="217"/>
      <c r="M9" s="217"/>
      <c r="N9" s="217"/>
      <c r="O9" s="217"/>
      <c r="P9" s="217"/>
    </row>
    <row r="10" spans="1:16">
      <c r="A10" s="226" t="s">
        <v>363</v>
      </c>
      <c r="B10" s="223">
        <v>8</v>
      </c>
      <c r="C10" s="224">
        <v>2</v>
      </c>
      <c r="D10" s="217">
        <f t="shared" si="4"/>
        <v>10</v>
      </c>
      <c r="E10" s="221">
        <f t="shared" si="5"/>
        <v>0.8</v>
      </c>
      <c r="F10" s="225"/>
      <c r="G10" s="217">
        <f t="shared" si="0"/>
        <v>8</v>
      </c>
      <c r="H10" s="217">
        <v>3</v>
      </c>
      <c r="I10" s="217">
        <f t="shared" si="1"/>
        <v>30</v>
      </c>
      <c r="J10" s="217">
        <f t="shared" si="2"/>
        <v>90</v>
      </c>
      <c r="K10" s="217">
        <f t="shared" si="3"/>
        <v>24</v>
      </c>
      <c r="L10" s="217"/>
      <c r="M10" s="217"/>
      <c r="N10" s="217"/>
      <c r="O10" s="217"/>
      <c r="P10" s="217"/>
    </row>
    <row r="11" spans="1:16">
      <c r="A11" s="226" t="s">
        <v>363</v>
      </c>
      <c r="B11" s="223">
        <v>3</v>
      </c>
      <c r="C11" s="224">
        <v>3</v>
      </c>
      <c r="D11" s="217">
        <f t="shared" ref="D11:D16" si="6">SUM(B11:C11)</f>
        <v>6</v>
      </c>
      <c r="E11" s="221">
        <f t="shared" si="5"/>
        <v>0.5</v>
      </c>
      <c r="F11" s="207"/>
      <c r="G11" s="217">
        <f t="shared" si="0"/>
        <v>3</v>
      </c>
      <c r="H11" s="217">
        <v>4</v>
      </c>
      <c r="I11" s="217">
        <f t="shared" si="1"/>
        <v>24</v>
      </c>
      <c r="J11" s="217">
        <f t="shared" si="2"/>
        <v>96</v>
      </c>
      <c r="K11" s="217">
        <f t="shared" si="3"/>
        <v>12</v>
      </c>
      <c r="L11" s="217"/>
      <c r="M11" s="217"/>
      <c r="N11" s="217"/>
      <c r="O11" s="217"/>
      <c r="P11" s="217"/>
    </row>
    <row r="12" spans="1:16">
      <c r="A12" s="226" t="s">
        <v>363</v>
      </c>
      <c r="B12" s="223">
        <v>2</v>
      </c>
      <c r="C12" s="224">
        <v>4</v>
      </c>
      <c r="D12" s="217">
        <f t="shared" si="6"/>
        <v>6</v>
      </c>
      <c r="E12" s="221">
        <f t="shared" si="5"/>
        <v>0.33333333333333331</v>
      </c>
      <c r="F12" s="207"/>
      <c r="G12" s="217">
        <f t="shared" si="0"/>
        <v>2</v>
      </c>
      <c r="H12" s="217">
        <v>5</v>
      </c>
      <c r="I12" s="217">
        <f t="shared" si="1"/>
        <v>30</v>
      </c>
      <c r="J12" s="217">
        <f t="shared" si="2"/>
        <v>150</v>
      </c>
      <c r="K12" s="217">
        <f t="shared" si="3"/>
        <v>10</v>
      </c>
      <c r="L12" s="217"/>
      <c r="M12" s="217"/>
      <c r="N12" s="217"/>
      <c r="O12" s="217"/>
      <c r="P12" s="217"/>
    </row>
    <row r="13" spans="1:16">
      <c r="A13" s="226" t="s">
        <v>363</v>
      </c>
      <c r="B13" s="223">
        <v>2</v>
      </c>
      <c r="C13" s="224">
        <v>3</v>
      </c>
      <c r="D13" s="217">
        <f t="shared" si="6"/>
        <v>5</v>
      </c>
      <c r="E13" s="221">
        <f t="shared" si="5"/>
        <v>0.4</v>
      </c>
      <c r="F13" s="207"/>
      <c r="G13" s="217">
        <f t="shared" si="0"/>
        <v>2</v>
      </c>
      <c r="H13" s="217">
        <v>6</v>
      </c>
      <c r="I13" s="217">
        <f t="shared" si="1"/>
        <v>30</v>
      </c>
      <c r="J13" s="217">
        <f t="shared" si="2"/>
        <v>180</v>
      </c>
      <c r="K13" s="217">
        <f t="shared" si="3"/>
        <v>12</v>
      </c>
      <c r="L13" s="217"/>
      <c r="M13" s="217"/>
      <c r="N13" s="217"/>
      <c r="O13" s="217"/>
      <c r="P13" s="217"/>
    </row>
    <row r="14" spans="1:16">
      <c r="A14" s="226" t="s">
        <v>363</v>
      </c>
      <c r="B14" s="223">
        <v>1</v>
      </c>
      <c r="C14" s="224">
        <v>2</v>
      </c>
      <c r="D14" s="217">
        <f t="shared" si="6"/>
        <v>3</v>
      </c>
      <c r="E14" s="221">
        <f t="shared" si="5"/>
        <v>0.33333333333333331</v>
      </c>
      <c r="F14" s="207"/>
      <c r="G14" s="217">
        <f t="shared" si="0"/>
        <v>1</v>
      </c>
      <c r="H14" s="217">
        <v>7</v>
      </c>
      <c r="I14" s="217">
        <f t="shared" si="1"/>
        <v>21</v>
      </c>
      <c r="J14" s="217">
        <f t="shared" si="2"/>
        <v>147</v>
      </c>
      <c r="K14" s="217">
        <f t="shared" si="3"/>
        <v>7</v>
      </c>
      <c r="L14" s="217"/>
      <c r="M14" s="217"/>
      <c r="N14" s="217"/>
      <c r="O14" s="217"/>
      <c r="P14" s="217"/>
    </row>
    <row r="15" spans="1:16">
      <c r="A15" s="226" t="s">
        <v>363</v>
      </c>
      <c r="B15" s="223">
        <v>2</v>
      </c>
      <c r="C15" s="224">
        <v>3</v>
      </c>
      <c r="D15" s="217">
        <f t="shared" si="6"/>
        <v>5</v>
      </c>
      <c r="E15" s="221">
        <f t="shared" si="5"/>
        <v>0.4</v>
      </c>
      <c r="F15" s="207"/>
      <c r="G15" s="217">
        <f t="shared" si="0"/>
        <v>2</v>
      </c>
      <c r="H15" s="217">
        <v>8</v>
      </c>
      <c r="I15" s="217">
        <f t="shared" si="1"/>
        <v>40</v>
      </c>
      <c r="J15" s="217">
        <f t="shared" si="2"/>
        <v>320</v>
      </c>
      <c r="K15" s="217">
        <f t="shared" si="3"/>
        <v>16</v>
      </c>
      <c r="L15" s="217"/>
      <c r="M15" s="217"/>
      <c r="N15" s="217"/>
      <c r="O15" s="217"/>
      <c r="P15" s="217"/>
    </row>
    <row r="16" spans="1:16" ht="14.25" thickBot="1">
      <c r="A16" s="227" t="s">
        <v>363</v>
      </c>
      <c r="B16" s="228">
        <v>1</v>
      </c>
      <c r="C16" s="229">
        <v>2</v>
      </c>
      <c r="D16" s="217">
        <f t="shared" si="6"/>
        <v>3</v>
      </c>
      <c r="E16" s="221">
        <f t="shared" si="5"/>
        <v>0.33333333333333331</v>
      </c>
      <c r="F16" s="207"/>
      <c r="G16" s="217">
        <f t="shared" si="0"/>
        <v>1</v>
      </c>
      <c r="H16" s="217">
        <v>9</v>
      </c>
      <c r="I16" s="217">
        <f t="shared" si="1"/>
        <v>27</v>
      </c>
      <c r="J16" s="217">
        <f t="shared" si="2"/>
        <v>243</v>
      </c>
      <c r="K16" s="217">
        <f t="shared" si="3"/>
        <v>9</v>
      </c>
      <c r="L16" s="217"/>
      <c r="M16" s="217"/>
      <c r="N16" s="217"/>
      <c r="O16" s="217"/>
      <c r="P16" s="217"/>
    </row>
    <row r="17" spans="1:16" ht="14.25" thickBot="1">
      <c r="A17" s="230" t="s">
        <v>349</v>
      </c>
      <c r="B17" s="231">
        <f>SUM(B7:B16)</f>
        <v>39</v>
      </c>
      <c r="C17" s="232">
        <f>SUM(C7:C16)</f>
        <v>49</v>
      </c>
      <c r="D17" s="217">
        <f>SUM(D7:D16)</f>
        <v>88</v>
      </c>
      <c r="E17" s="217"/>
      <c r="F17" s="217"/>
      <c r="G17" s="217">
        <f>SUM(G7:G16)</f>
        <v>39</v>
      </c>
      <c r="H17" s="217"/>
      <c r="I17" s="217">
        <f>SUM(I7:I16)</f>
        <v>242</v>
      </c>
      <c r="J17" s="217">
        <f>SUM(J7:J16)</f>
        <v>1286</v>
      </c>
      <c r="K17" s="217">
        <f>SUM(K7:K16)</f>
        <v>111</v>
      </c>
      <c r="L17" s="217"/>
      <c r="M17" s="217"/>
      <c r="N17" s="217"/>
      <c r="O17" s="217"/>
      <c r="P17" s="217"/>
    </row>
    <row r="18" spans="1:16">
      <c r="A18" s="217" t="str">
        <f>"拡張Mantel検定：トレンドP"&amp;IF(P7&lt;0.001,"&lt;0.001","="&amp;FIXED(P7,3))</f>
        <v>拡張Mantel検定：トレンドP=0.763</v>
      </c>
      <c r="B18" s="208"/>
      <c r="C18" s="208"/>
      <c r="E18" s="208"/>
      <c r="F18" t="s">
        <v>364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</row>
    <row r="19" spans="1:16">
      <c r="A19" s="233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</row>
    <row r="20" spans="1:16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6"/>
  <sheetViews>
    <sheetView workbookViewId="0"/>
  </sheetViews>
  <sheetFormatPr defaultRowHeight="13.5"/>
  <cols>
    <col min="1" max="1" width="12.375" customWidth="1"/>
  </cols>
  <sheetData>
    <row r="1" spans="1:8" ht="18" thickBot="1">
      <c r="A1" s="9" t="s">
        <v>107</v>
      </c>
    </row>
    <row r="2" spans="1:8" ht="43.5" thickBot="1">
      <c r="A2" s="6" t="s">
        <v>9</v>
      </c>
      <c r="B2" s="51" t="s">
        <v>323</v>
      </c>
      <c r="C2" s="52" t="s">
        <v>0</v>
      </c>
      <c r="D2" s="51" t="s">
        <v>73</v>
      </c>
      <c r="E2" s="52" t="s">
        <v>74</v>
      </c>
      <c r="F2" s="6" t="s">
        <v>10</v>
      </c>
      <c r="G2" s="6" t="s">
        <v>8</v>
      </c>
      <c r="H2" s="6" t="s">
        <v>18</v>
      </c>
    </row>
    <row r="3" spans="1:8">
      <c r="A3" s="7" t="s">
        <v>5</v>
      </c>
      <c r="C3" s="2"/>
      <c r="E3" s="2"/>
      <c r="F3" s="2"/>
      <c r="G3" s="2"/>
      <c r="H3" s="2"/>
    </row>
    <row r="4" spans="1:8">
      <c r="A4" s="1" t="s">
        <v>21</v>
      </c>
      <c r="B4" s="53"/>
      <c r="C4" s="12"/>
      <c r="D4" s="12"/>
      <c r="E4" s="54" t="e">
        <f>D4/SQRT(B4)</f>
        <v>#DIV/0!</v>
      </c>
      <c r="F4" s="55">
        <v>18378</v>
      </c>
      <c r="G4" s="2">
        <f>+C4*F4</f>
        <v>0</v>
      </c>
      <c r="H4" s="2" t="e">
        <f>+E4*E4*F4*F4</f>
        <v>#DIV/0!</v>
      </c>
    </row>
    <row r="5" spans="1:8">
      <c r="A5" s="1" t="s">
        <v>22</v>
      </c>
      <c r="B5" s="53"/>
      <c r="C5" s="12"/>
      <c r="D5" s="12"/>
      <c r="E5" s="54" t="e">
        <f>D5/SQRT(B5)</f>
        <v>#DIV/0!</v>
      </c>
      <c r="F5" s="55">
        <v>34297</v>
      </c>
      <c r="G5" s="2">
        <f>+C5*F5</f>
        <v>0</v>
      </c>
      <c r="H5" s="2" t="e">
        <f>+E5*E5*F5*F5</f>
        <v>#DIV/0!</v>
      </c>
    </row>
    <row r="6" spans="1:8">
      <c r="A6" s="1" t="s">
        <v>23</v>
      </c>
      <c r="B6" s="53"/>
      <c r="C6" s="12"/>
      <c r="D6" s="12"/>
      <c r="E6" s="54" t="e">
        <f>D6/SQRT(B6)</f>
        <v>#DIV/0!</v>
      </c>
      <c r="F6" s="55">
        <v>35029</v>
      </c>
      <c r="G6" s="2">
        <f>+C6*F6</f>
        <v>0</v>
      </c>
      <c r="H6" s="2" t="e">
        <f>+E6*E6*F6*F6</f>
        <v>#DIV/0!</v>
      </c>
    </row>
    <row r="7" spans="1:8">
      <c r="A7" s="1" t="s">
        <v>24</v>
      </c>
      <c r="B7" s="53"/>
      <c r="C7" s="12"/>
      <c r="D7" s="12"/>
      <c r="E7" s="54" t="e">
        <f>D7/SQRT(B7)</f>
        <v>#DIV/0!</v>
      </c>
      <c r="F7" s="55">
        <v>18239</v>
      </c>
      <c r="G7" s="2">
        <f>+C7*F7</f>
        <v>0</v>
      </c>
      <c r="H7" s="2" t="e">
        <f>+E7*E7*F7*F7</f>
        <v>#DIV/0!</v>
      </c>
    </row>
    <row r="8" spans="1:8">
      <c r="A8" s="1" t="s">
        <v>105</v>
      </c>
      <c r="B8" s="53"/>
      <c r="C8" s="12"/>
      <c r="D8" s="12"/>
      <c r="E8" s="54" t="e">
        <f>D8/SQRT(B8)</f>
        <v>#DIV/0!</v>
      </c>
      <c r="F8" s="2">
        <f>SUM(F4:F7)</f>
        <v>105943</v>
      </c>
      <c r="G8" s="2">
        <f>+SUM(G4:G7)</f>
        <v>0</v>
      </c>
      <c r="H8" s="2" t="e">
        <f>+SUM(H4:H7)</f>
        <v>#DIV/0!</v>
      </c>
    </row>
    <row r="9" spans="1:8">
      <c r="A9" s="3" t="s">
        <v>4</v>
      </c>
      <c r="B9" s="56" t="s">
        <v>77</v>
      </c>
      <c r="C9" s="13">
        <f>+G8/F8</f>
        <v>0</v>
      </c>
      <c r="D9" s="57" t="s">
        <v>77</v>
      </c>
      <c r="E9" s="13" t="e">
        <f>SQRT(H8)/F8</f>
        <v>#DIV/0!</v>
      </c>
      <c r="F9" s="2"/>
      <c r="G9" s="2"/>
      <c r="H9" s="2"/>
    </row>
    <row r="10" spans="1:8">
      <c r="A10" s="7" t="s">
        <v>6</v>
      </c>
      <c r="B10" s="58"/>
      <c r="C10" s="14"/>
      <c r="D10" s="14"/>
      <c r="E10" s="14"/>
      <c r="F10" s="2"/>
      <c r="G10" s="2"/>
      <c r="H10" s="2"/>
    </row>
    <row r="11" spans="1:8">
      <c r="A11" s="1" t="s">
        <v>21</v>
      </c>
      <c r="B11" s="53"/>
      <c r="C11" s="12"/>
      <c r="D11" s="12"/>
      <c r="E11" s="54" t="e">
        <f>D11/SQRT(B11)</f>
        <v>#DIV/0!</v>
      </c>
      <c r="F11" s="55">
        <v>18378</v>
      </c>
      <c r="G11" s="55">
        <f>+C11*F11</f>
        <v>0</v>
      </c>
      <c r="H11" s="55" t="e">
        <f>+E11*E11*F11*F11</f>
        <v>#DIV/0!</v>
      </c>
    </row>
    <row r="12" spans="1:8">
      <c r="A12" s="1" t="s">
        <v>22</v>
      </c>
      <c r="B12" s="53"/>
      <c r="C12" s="12"/>
      <c r="D12" s="12"/>
      <c r="E12" s="54" t="e">
        <f>D12/SQRT(B12)</f>
        <v>#DIV/0!</v>
      </c>
      <c r="F12" s="55">
        <v>34297</v>
      </c>
      <c r="G12" s="55">
        <f>+C12*F12</f>
        <v>0</v>
      </c>
      <c r="H12" s="55" t="e">
        <f>+E12*E12*F12*F12</f>
        <v>#DIV/0!</v>
      </c>
    </row>
    <row r="13" spans="1:8">
      <c r="A13" s="1" t="s">
        <v>23</v>
      </c>
      <c r="B13" s="53"/>
      <c r="C13" s="12"/>
      <c r="D13" s="12"/>
      <c r="E13" s="54" t="e">
        <f>D13/SQRT(B13)</f>
        <v>#DIV/0!</v>
      </c>
      <c r="F13" s="55">
        <v>35029</v>
      </c>
      <c r="G13" s="55">
        <f>+C13*F13</f>
        <v>0</v>
      </c>
      <c r="H13" s="55" t="e">
        <f>+E13*E13*F13*F13</f>
        <v>#DIV/0!</v>
      </c>
    </row>
    <row r="14" spans="1:8">
      <c r="A14" s="1" t="s">
        <v>24</v>
      </c>
      <c r="B14" s="53"/>
      <c r="C14" s="12"/>
      <c r="D14" s="12"/>
      <c r="E14" s="54" t="e">
        <f>D14/SQRT(B14)</f>
        <v>#DIV/0!</v>
      </c>
      <c r="F14" s="55">
        <v>18239</v>
      </c>
      <c r="G14" s="55">
        <f>+C14*F14</f>
        <v>0</v>
      </c>
      <c r="H14" s="55" t="e">
        <f>+E14*E14*F14*F14</f>
        <v>#DIV/0!</v>
      </c>
    </row>
    <row r="15" spans="1:8">
      <c r="A15" s="1" t="s">
        <v>3</v>
      </c>
      <c r="B15" s="53"/>
      <c r="C15" s="12"/>
      <c r="D15" s="12"/>
      <c r="E15" s="54" t="e">
        <f>D15/SQRT(B15)</f>
        <v>#DIV/0!</v>
      </c>
      <c r="F15" s="55">
        <f>SUM(F11:F14)</f>
        <v>105943</v>
      </c>
      <c r="G15" s="55">
        <f>+SUM(G11:G14)</f>
        <v>0</v>
      </c>
      <c r="H15" s="55" t="e">
        <f>+SUM(H11:H14)</f>
        <v>#DIV/0!</v>
      </c>
    </row>
    <row r="16" spans="1:8">
      <c r="A16" s="3" t="s">
        <v>4</v>
      </c>
      <c r="B16" s="56" t="s">
        <v>77</v>
      </c>
      <c r="C16" s="13">
        <f>+G15/F15</f>
        <v>0</v>
      </c>
      <c r="D16" s="57" t="s">
        <v>77</v>
      </c>
      <c r="E16" s="13" t="e">
        <f>SQRT(H15)/F15</f>
        <v>#DIV/0!</v>
      </c>
      <c r="F16" s="1"/>
      <c r="G16" s="1"/>
      <c r="H16" s="1"/>
    </row>
    <row r="17" spans="1:8">
      <c r="A17" s="8" t="s">
        <v>11</v>
      </c>
      <c r="B17" s="59"/>
      <c r="F17" s="1"/>
      <c r="G17" s="1"/>
      <c r="H17" s="1"/>
    </row>
    <row r="18" spans="1:8">
      <c r="A18" s="1" t="s">
        <v>66</v>
      </c>
      <c r="B18" s="53"/>
      <c r="C18" s="12"/>
      <c r="D18" s="12"/>
      <c r="E18" s="54" t="e">
        <f>D18/SQRT(B18)</f>
        <v>#DIV/0!</v>
      </c>
      <c r="F18" s="1"/>
      <c r="G18" s="1"/>
      <c r="H18" s="1"/>
    </row>
    <row r="19" spans="1:8" ht="14.25" thickBot="1">
      <c r="A19" s="4" t="s">
        <v>7</v>
      </c>
      <c r="B19" s="60" t="s">
        <v>81</v>
      </c>
      <c r="C19" s="15">
        <f>+(G8+G15)/(F8+F15)</f>
        <v>0</v>
      </c>
      <c r="D19" s="61" t="s">
        <v>81</v>
      </c>
      <c r="E19" s="15" t="e">
        <f>+SQRT(H8+H15)/(F8+F15)</f>
        <v>#DIV/0!</v>
      </c>
      <c r="F19" s="5"/>
      <c r="G19" s="5"/>
      <c r="H19" s="5"/>
    </row>
    <row r="20" spans="1:8">
      <c r="A20" t="s">
        <v>106</v>
      </c>
    </row>
    <row r="21" spans="1:8">
      <c r="A21" t="s">
        <v>26</v>
      </c>
    </row>
    <row r="22" spans="1:8">
      <c r="A22" t="s">
        <v>20</v>
      </c>
    </row>
    <row r="24" spans="1:8" ht="18" thickBot="1">
      <c r="A24" s="9" t="s">
        <v>108</v>
      </c>
    </row>
    <row r="25" spans="1:8" ht="43.5" thickBot="1">
      <c r="A25" s="6" t="s">
        <v>9</v>
      </c>
      <c r="B25" s="51" t="s">
        <v>323</v>
      </c>
      <c r="C25" s="52" t="s">
        <v>0</v>
      </c>
      <c r="D25" s="51" t="s">
        <v>73</v>
      </c>
      <c r="E25" s="52" t="s">
        <v>74</v>
      </c>
      <c r="F25" s="6" t="s">
        <v>10</v>
      </c>
      <c r="G25" s="6" t="s">
        <v>8</v>
      </c>
      <c r="H25" s="6" t="s">
        <v>18</v>
      </c>
    </row>
    <row r="26" spans="1:8">
      <c r="A26" s="7" t="s">
        <v>5</v>
      </c>
      <c r="C26" s="2"/>
      <c r="E26" s="2"/>
      <c r="F26" s="2"/>
      <c r="G26" s="2"/>
      <c r="H26" s="2"/>
    </row>
    <row r="27" spans="1:8">
      <c r="A27" s="1" t="s">
        <v>99</v>
      </c>
      <c r="B27" s="53"/>
      <c r="C27" s="12"/>
      <c r="D27" s="12"/>
      <c r="E27" s="54" t="e">
        <f>D27/SQRT(B27)</f>
        <v>#DIV/0!</v>
      </c>
      <c r="F27" s="55">
        <v>15631</v>
      </c>
      <c r="G27" s="2">
        <f t="shared" ref="G27:G32" si="0">+C27*F27</f>
        <v>0</v>
      </c>
      <c r="H27" s="2" t="e">
        <f t="shared" ref="H27:H32" si="1">+E27*E27*F27*F27</f>
        <v>#DIV/0!</v>
      </c>
    </row>
    <row r="28" spans="1:8">
      <c r="A28" s="1" t="s">
        <v>100</v>
      </c>
      <c r="B28" s="53"/>
      <c r="C28" s="12"/>
      <c r="D28" s="12"/>
      <c r="E28" s="54" t="e">
        <f t="shared" ref="E28:E33" si="2">D28/SQRT(B28)</f>
        <v>#DIV/0!</v>
      </c>
      <c r="F28" s="55">
        <v>18491</v>
      </c>
      <c r="G28" s="2">
        <f t="shared" si="0"/>
        <v>0</v>
      </c>
      <c r="H28" s="2" t="e">
        <f t="shared" si="1"/>
        <v>#DIV/0!</v>
      </c>
    </row>
    <row r="29" spans="1:8">
      <c r="A29" s="1" t="s">
        <v>101</v>
      </c>
      <c r="B29" s="53"/>
      <c r="C29" s="12"/>
      <c r="D29" s="12"/>
      <c r="E29" s="54" t="e">
        <f t="shared" si="2"/>
        <v>#DIV/0!</v>
      </c>
      <c r="F29" s="55">
        <v>15806</v>
      </c>
      <c r="G29" s="2">
        <f t="shared" si="0"/>
        <v>0</v>
      </c>
      <c r="H29" s="2" t="e">
        <f t="shared" si="1"/>
        <v>#DIV/0!</v>
      </c>
    </row>
    <row r="30" spans="1:8">
      <c r="A30" s="1" t="s">
        <v>102</v>
      </c>
      <c r="B30" s="53"/>
      <c r="C30" s="12"/>
      <c r="D30" s="12"/>
      <c r="E30" s="54" t="e">
        <f t="shared" si="2"/>
        <v>#DIV/0!</v>
      </c>
      <c r="F30" s="55">
        <v>19052</v>
      </c>
      <c r="G30" s="2">
        <f t="shared" si="0"/>
        <v>0</v>
      </c>
      <c r="H30" s="2" t="e">
        <f t="shared" si="1"/>
        <v>#DIV/0!</v>
      </c>
    </row>
    <row r="31" spans="1:8">
      <c r="A31" s="1" t="s">
        <v>103</v>
      </c>
      <c r="B31" s="53"/>
      <c r="C31" s="12"/>
      <c r="D31" s="12"/>
      <c r="E31" s="54" t="e">
        <f t="shared" si="2"/>
        <v>#DIV/0!</v>
      </c>
      <c r="F31" s="55">
        <v>15977</v>
      </c>
      <c r="G31" s="2">
        <f t="shared" si="0"/>
        <v>0</v>
      </c>
      <c r="H31" s="2" t="e">
        <f t="shared" si="1"/>
        <v>#DIV/0!</v>
      </c>
    </row>
    <row r="32" spans="1:8">
      <c r="A32" s="1" t="s">
        <v>104</v>
      </c>
      <c r="B32" s="53"/>
      <c r="C32" s="12"/>
      <c r="D32" s="12"/>
      <c r="E32" s="54" t="e">
        <f t="shared" si="2"/>
        <v>#DIV/0!</v>
      </c>
      <c r="F32" s="55">
        <v>18239</v>
      </c>
      <c r="G32" s="2">
        <f t="shared" si="0"/>
        <v>0</v>
      </c>
      <c r="H32" s="2" t="e">
        <f t="shared" si="1"/>
        <v>#DIV/0!</v>
      </c>
    </row>
    <row r="33" spans="1:8">
      <c r="A33" s="1" t="s">
        <v>105</v>
      </c>
      <c r="B33" s="53"/>
      <c r="C33" s="12"/>
      <c r="D33" s="12"/>
      <c r="E33" s="54" t="e">
        <f t="shared" si="2"/>
        <v>#DIV/0!</v>
      </c>
      <c r="F33" s="2">
        <f>SUM(F27:F32)</f>
        <v>103196</v>
      </c>
      <c r="G33" s="2">
        <f>+SUM(G27:G32)</f>
        <v>0</v>
      </c>
      <c r="H33" s="2" t="e">
        <f>+SUM(H27:H32)</f>
        <v>#DIV/0!</v>
      </c>
    </row>
    <row r="34" spans="1:8">
      <c r="A34" s="3" t="s">
        <v>4</v>
      </c>
      <c r="B34" s="56" t="s">
        <v>77</v>
      </c>
      <c r="C34" s="13">
        <f>+G33/F33</f>
        <v>0</v>
      </c>
      <c r="D34" s="57" t="s">
        <v>77</v>
      </c>
      <c r="E34" s="13" t="e">
        <f>SQRT(H33)/F33</f>
        <v>#DIV/0!</v>
      </c>
      <c r="F34" s="2"/>
      <c r="G34" s="2"/>
      <c r="H34" s="2"/>
    </row>
    <row r="35" spans="1:8">
      <c r="A35" s="7" t="s">
        <v>6</v>
      </c>
      <c r="B35" s="58"/>
      <c r="C35" s="14"/>
      <c r="D35" s="14"/>
      <c r="E35" s="14"/>
      <c r="F35" s="2"/>
      <c r="G35" s="2"/>
      <c r="H35" s="2"/>
    </row>
    <row r="36" spans="1:8">
      <c r="A36" s="1" t="s">
        <v>75</v>
      </c>
      <c r="B36" s="53"/>
      <c r="C36" s="12"/>
      <c r="D36" s="12"/>
      <c r="E36" s="54" t="e">
        <f t="shared" ref="E36:E42" si="3">D36/SQRT(B36)</f>
        <v>#DIV/0!</v>
      </c>
      <c r="F36" s="55">
        <v>15631</v>
      </c>
      <c r="G36" s="55">
        <f t="shared" ref="G36:G41" si="4">+C36*F36</f>
        <v>0</v>
      </c>
      <c r="H36" s="55" t="e">
        <f t="shared" ref="H36:H41" si="5">+E36*E36*F36*F36</f>
        <v>#DIV/0!</v>
      </c>
    </row>
    <row r="37" spans="1:8">
      <c r="A37" s="1" t="s">
        <v>76</v>
      </c>
      <c r="B37" s="53"/>
      <c r="C37" s="12"/>
      <c r="D37" s="12"/>
      <c r="E37" s="54" t="e">
        <f t="shared" si="3"/>
        <v>#DIV/0!</v>
      </c>
      <c r="F37" s="55">
        <v>18491</v>
      </c>
      <c r="G37" s="55">
        <f t="shared" si="4"/>
        <v>0</v>
      </c>
      <c r="H37" s="55" t="e">
        <f t="shared" si="5"/>
        <v>#DIV/0!</v>
      </c>
    </row>
    <row r="38" spans="1:8">
      <c r="A38" s="1" t="s">
        <v>78</v>
      </c>
      <c r="B38" s="53"/>
      <c r="C38" s="12"/>
      <c r="D38" s="12"/>
      <c r="E38" s="54" t="e">
        <f t="shared" si="3"/>
        <v>#DIV/0!</v>
      </c>
      <c r="F38" s="55">
        <v>15806</v>
      </c>
      <c r="G38" s="55">
        <f t="shared" si="4"/>
        <v>0</v>
      </c>
      <c r="H38" s="55" t="e">
        <f t="shared" si="5"/>
        <v>#DIV/0!</v>
      </c>
    </row>
    <row r="39" spans="1:8">
      <c r="A39" s="1" t="s">
        <v>79</v>
      </c>
      <c r="B39" s="53"/>
      <c r="C39" s="12"/>
      <c r="D39" s="12"/>
      <c r="E39" s="54" t="e">
        <f t="shared" si="3"/>
        <v>#DIV/0!</v>
      </c>
      <c r="F39" s="55">
        <v>19052</v>
      </c>
      <c r="G39" s="55">
        <f t="shared" si="4"/>
        <v>0</v>
      </c>
      <c r="H39" s="55" t="e">
        <f t="shared" si="5"/>
        <v>#DIV/0!</v>
      </c>
    </row>
    <row r="40" spans="1:8">
      <c r="A40" s="1" t="s">
        <v>80</v>
      </c>
      <c r="B40" s="53"/>
      <c r="C40" s="12"/>
      <c r="D40" s="12"/>
      <c r="E40" s="54" t="e">
        <f t="shared" si="3"/>
        <v>#DIV/0!</v>
      </c>
      <c r="F40" s="55">
        <v>15977</v>
      </c>
      <c r="G40" s="55">
        <f t="shared" si="4"/>
        <v>0</v>
      </c>
      <c r="H40" s="55" t="e">
        <f t="shared" si="5"/>
        <v>#DIV/0!</v>
      </c>
    </row>
    <row r="41" spans="1:8">
      <c r="A41" s="1" t="s">
        <v>2</v>
      </c>
      <c r="B41" s="53"/>
      <c r="C41" s="12"/>
      <c r="D41" s="12"/>
      <c r="E41" s="54" t="e">
        <f t="shared" si="3"/>
        <v>#DIV/0!</v>
      </c>
      <c r="F41" s="55">
        <v>18239</v>
      </c>
      <c r="G41" s="55">
        <f t="shared" si="4"/>
        <v>0</v>
      </c>
      <c r="H41" s="55" t="e">
        <f t="shared" si="5"/>
        <v>#DIV/0!</v>
      </c>
    </row>
    <row r="42" spans="1:8">
      <c r="A42" s="1" t="s">
        <v>3</v>
      </c>
      <c r="B42" s="53"/>
      <c r="C42" s="12"/>
      <c r="D42" s="12"/>
      <c r="E42" s="54" t="e">
        <f t="shared" si="3"/>
        <v>#DIV/0!</v>
      </c>
      <c r="F42" s="55">
        <f>SUM(F36:F41)</f>
        <v>103196</v>
      </c>
      <c r="G42" s="55">
        <f>+SUM(G36:G41)</f>
        <v>0</v>
      </c>
      <c r="H42" s="55" t="e">
        <f>+SUM(H36:H41)</f>
        <v>#DIV/0!</v>
      </c>
    </row>
    <row r="43" spans="1:8">
      <c r="A43" s="3" t="s">
        <v>4</v>
      </c>
      <c r="B43" s="56" t="s">
        <v>77</v>
      </c>
      <c r="C43" s="13">
        <f>+G42/F42</f>
        <v>0</v>
      </c>
      <c r="D43" s="57" t="s">
        <v>77</v>
      </c>
      <c r="E43" s="13" t="e">
        <f>SQRT(H42)/F42</f>
        <v>#DIV/0!</v>
      </c>
      <c r="F43" s="1"/>
      <c r="G43" s="1"/>
      <c r="H43" s="1"/>
    </row>
    <row r="44" spans="1:8">
      <c r="A44" s="8" t="s">
        <v>11</v>
      </c>
      <c r="B44" s="59"/>
      <c r="F44" s="1"/>
      <c r="G44" s="1"/>
      <c r="H44" s="1"/>
    </row>
    <row r="45" spans="1:8">
      <c r="A45" s="1" t="s">
        <v>66</v>
      </c>
      <c r="B45" s="53"/>
      <c r="C45" s="12"/>
      <c r="D45" s="12"/>
      <c r="E45" s="54" t="e">
        <f>D45/SQRT(B45)</f>
        <v>#DIV/0!</v>
      </c>
      <c r="F45" s="1"/>
      <c r="G45" s="1"/>
      <c r="H45" s="1"/>
    </row>
    <row r="46" spans="1:8" ht="14.25" thickBot="1">
      <c r="A46" s="4" t="s">
        <v>7</v>
      </c>
      <c r="B46" s="60" t="s">
        <v>81</v>
      </c>
      <c r="C46" s="15">
        <f>+(G33+G42)/(F33+F42)</f>
        <v>0</v>
      </c>
      <c r="D46" s="61" t="s">
        <v>81</v>
      </c>
      <c r="E46" s="15" t="e">
        <f>+SQRT(H33+H42)/(F33+F42)</f>
        <v>#DIV/0!</v>
      </c>
      <c r="F46" s="5"/>
      <c r="G46" s="5"/>
      <c r="H46" s="5"/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workbookViewId="0"/>
  </sheetViews>
  <sheetFormatPr defaultRowHeight="13.5"/>
  <cols>
    <col min="1" max="1" width="12.375" customWidth="1"/>
  </cols>
  <sheetData>
    <row r="1" spans="1:7" ht="18" thickBot="1">
      <c r="A1" s="9" t="s">
        <v>107</v>
      </c>
    </row>
    <row r="2" spans="1:7" ht="43.5" thickBot="1">
      <c r="A2" s="6" t="s">
        <v>9</v>
      </c>
      <c r="B2" s="51" t="s">
        <v>323</v>
      </c>
      <c r="C2" s="52" t="s">
        <v>109</v>
      </c>
      <c r="D2" s="52" t="s">
        <v>110</v>
      </c>
      <c r="E2" s="6" t="s">
        <v>10</v>
      </c>
      <c r="F2" s="6" t="s">
        <v>8</v>
      </c>
      <c r="G2" s="6" t="s">
        <v>18</v>
      </c>
    </row>
    <row r="3" spans="1:7">
      <c r="A3" s="7" t="s">
        <v>5</v>
      </c>
      <c r="C3" s="2"/>
      <c r="D3" s="2"/>
      <c r="E3" s="2"/>
      <c r="F3" s="2"/>
      <c r="G3" s="2"/>
    </row>
    <row r="4" spans="1:7">
      <c r="A4" s="1" t="s">
        <v>13</v>
      </c>
      <c r="B4" s="53"/>
      <c r="C4" s="12"/>
      <c r="D4" s="54" t="e">
        <f>SQRT(C4/100*(1-C4/100)/B4)*100</f>
        <v>#DIV/0!</v>
      </c>
      <c r="E4" s="55">
        <v>18378</v>
      </c>
      <c r="F4" s="2">
        <f>+C4*E4</f>
        <v>0</v>
      </c>
      <c r="G4" s="2" t="e">
        <f>+D4*D4*E4*E4</f>
        <v>#DIV/0!</v>
      </c>
    </row>
    <row r="5" spans="1:7">
      <c r="A5" s="1" t="s">
        <v>14</v>
      </c>
      <c r="B5" s="53"/>
      <c r="C5" s="12"/>
      <c r="D5" s="54" t="e">
        <f>SQRT(C5/100*(1-C5/100)/B5)*100</f>
        <v>#DIV/0!</v>
      </c>
      <c r="E5" s="55">
        <v>34297</v>
      </c>
      <c r="F5" s="2">
        <f>+C5*E5</f>
        <v>0</v>
      </c>
      <c r="G5" s="2" t="e">
        <f>+D5*D5*E5*E5</f>
        <v>#DIV/0!</v>
      </c>
    </row>
    <row r="6" spans="1:7">
      <c r="A6" s="1" t="s">
        <v>15</v>
      </c>
      <c r="B6" s="53"/>
      <c r="C6" s="12"/>
      <c r="D6" s="54" t="e">
        <f>SQRT(C6/100*(1-C6/100)/B6)*100</f>
        <v>#DIV/0!</v>
      </c>
      <c r="E6" s="55">
        <v>35029</v>
      </c>
      <c r="F6" s="2">
        <f>+C6*E6</f>
        <v>0</v>
      </c>
      <c r="G6" s="2" t="e">
        <f>+D6*D6*E6*E6</f>
        <v>#DIV/0!</v>
      </c>
    </row>
    <row r="7" spans="1:7">
      <c r="A7" s="1" t="s">
        <v>16</v>
      </c>
      <c r="B7" s="53"/>
      <c r="C7" s="12"/>
      <c r="D7" s="54" t="e">
        <f>SQRT(C7/100*(1-C7/100)/B7)*100</f>
        <v>#DIV/0!</v>
      </c>
      <c r="E7" s="55">
        <v>18239</v>
      </c>
      <c r="F7" s="2">
        <f>+C7*E7</f>
        <v>0</v>
      </c>
      <c r="G7" s="2" t="e">
        <f>+D7*D7*E7*E7</f>
        <v>#DIV/0!</v>
      </c>
    </row>
    <row r="8" spans="1:7">
      <c r="A8" s="1" t="s">
        <v>17</v>
      </c>
      <c r="B8" s="53"/>
      <c r="C8" s="12"/>
      <c r="D8" s="54" t="e">
        <f>SQRT(C8/100*(1-C8/100)/B8)*100</f>
        <v>#DIV/0!</v>
      </c>
      <c r="E8" s="2">
        <f>SUM(E4:E7)</f>
        <v>105943</v>
      </c>
      <c r="F8" s="2">
        <f>+SUM(F4:F7)</f>
        <v>0</v>
      </c>
      <c r="G8" s="2" t="e">
        <f>+SUM(G4:G7)</f>
        <v>#DIV/0!</v>
      </c>
    </row>
    <row r="9" spans="1:7">
      <c r="A9" s="3" t="s">
        <v>4</v>
      </c>
      <c r="B9" s="56" t="s">
        <v>77</v>
      </c>
      <c r="C9" s="13">
        <f>+F8/E8</f>
        <v>0</v>
      </c>
      <c r="D9" s="13" t="e">
        <f>SQRT(G8)/E8</f>
        <v>#DIV/0!</v>
      </c>
      <c r="E9" s="2"/>
      <c r="F9" s="2"/>
      <c r="G9" s="2"/>
    </row>
    <row r="10" spans="1:7">
      <c r="A10" s="7" t="s">
        <v>6</v>
      </c>
      <c r="B10" s="58"/>
      <c r="C10" s="14"/>
      <c r="D10" s="14"/>
      <c r="E10" s="2"/>
      <c r="F10" s="2"/>
      <c r="G10" s="2"/>
    </row>
    <row r="11" spans="1:7">
      <c r="A11" s="1" t="s">
        <v>13</v>
      </c>
      <c r="B11" s="53"/>
      <c r="C11" s="12"/>
      <c r="D11" s="54" t="e">
        <f>SQRT(C11/100*(1-C11/100)/B11)*100</f>
        <v>#DIV/0!</v>
      </c>
      <c r="E11" s="55">
        <v>18378</v>
      </c>
      <c r="F11" s="55">
        <f>+C11*E11</f>
        <v>0</v>
      </c>
      <c r="G11" s="55" t="e">
        <f>+D11*D11*E11*E11</f>
        <v>#DIV/0!</v>
      </c>
    </row>
    <row r="12" spans="1:7">
      <c r="A12" s="1" t="s">
        <v>14</v>
      </c>
      <c r="B12" s="53"/>
      <c r="C12" s="12"/>
      <c r="D12" s="54" t="e">
        <f>SQRT(C12/100*(1-C12/100)/B12)*100</f>
        <v>#DIV/0!</v>
      </c>
      <c r="E12" s="55">
        <v>34297</v>
      </c>
      <c r="F12" s="55">
        <f>+C12*E12</f>
        <v>0</v>
      </c>
      <c r="G12" s="55" t="e">
        <f>+D12*D12*E12*E12</f>
        <v>#DIV/0!</v>
      </c>
    </row>
    <row r="13" spans="1:7">
      <c r="A13" s="1" t="s">
        <v>15</v>
      </c>
      <c r="B13" s="53"/>
      <c r="C13" s="12"/>
      <c r="D13" s="54" t="e">
        <f>SQRT(C13/100*(1-C13/100)/B13)*100</f>
        <v>#DIV/0!</v>
      </c>
      <c r="E13" s="55">
        <v>35029</v>
      </c>
      <c r="F13" s="55">
        <f>+C13*E13</f>
        <v>0</v>
      </c>
      <c r="G13" s="55" t="e">
        <f>+D13*D13*E13*E13</f>
        <v>#DIV/0!</v>
      </c>
    </row>
    <row r="14" spans="1:7">
      <c r="A14" s="1" t="s">
        <v>16</v>
      </c>
      <c r="B14" s="53"/>
      <c r="C14" s="12"/>
      <c r="D14" s="54" t="e">
        <f>SQRT(C14/100*(1-C14/100)/B14)*100</f>
        <v>#DIV/0!</v>
      </c>
      <c r="E14" s="55">
        <v>18239</v>
      </c>
      <c r="F14" s="55">
        <f>+C14*E14</f>
        <v>0</v>
      </c>
      <c r="G14" s="55" t="e">
        <f>+D14*D14*E14*E14</f>
        <v>#DIV/0!</v>
      </c>
    </row>
    <row r="15" spans="1:7">
      <c r="A15" s="1" t="s">
        <v>17</v>
      </c>
      <c r="B15" s="53"/>
      <c r="C15" s="12"/>
      <c r="D15" s="54" t="e">
        <f>SQRT(C15/100*(1-C15/100)/B15)*100</f>
        <v>#DIV/0!</v>
      </c>
      <c r="E15" s="55">
        <f>SUM(E11:E14)</f>
        <v>105943</v>
      </c>
      <c r="F15" s="55">
        <f>+SUM(F11:F14)</f>
        <v>0</v>
      </c>
      <c r="G15" s="55" t="e">
        <f>+SUM(G11:G14)</f>
        <v>#DIV/0!</v>
      </c>
    </row>
    <row r="16" spans="1:7">
      <c r="A16" s="3" t="s">
        <v>4</v>
      </c>
      <c r="B16" s="56" t="s">
        <v>77</v>
      </c>
      <c r="C16" s="13">
        <f>+F15/E15</f>
        <v>0</v>
      </c>
      <c r="D16" s="13" t="e">
        <f>SQRT(G15)/E15</f>
        <v>#DIV/0!</v>
      </c>
      <c r="E16" s="1"/>
      <c r="F16" s="1"/>
      <c r="G16" s="1"/>
    </row>
    <row r="17" spans="1:7">
      <c r="A17" s="8" t="s">
        <v>11</v>
      </c>
      <c r="B17" s="59"/>
      <c r="E17" s="1"/>
      <c r="F17" s="1"/>
      <c r="G17" s="1"/>
    </row>
    <row r="18" spans="1:7">
      <c r="A18" s="1" t="s">
        <v>66</v>
      </c>
      <c r="B18" s="53"/>
      <c r="C18" s="12"/>
      <c r="D18" s="54" t="e">
        <f>SQRT(C18/100*(1-C18/100)/B18)*100</f>
        <v>#DIV/0!</v>
      </c>
      <c r="E18" s="1"/>
      <c r="F18" s="1"/>
      <c r="G18" s="1"/>
    </row>
    <row r="19" spans="1:7" ht="14.25" thickBot="1">
      <c r="A19" s="4" t="s">
        <v>7</v>
      </c>
      <c r="B19" s="60" t="s">
        <v>81</v>
      </c>
      <c r="C19" s="15">
        <f>+(F8+F15)/(E8+E15)</f>
        <v>0</v>
      </c>
      <c r="D19" s="15" t="e">
        <f>+SQRT(G8+G15)/(E8+E15)</f>
        <v>#DIV/0!</v>
      </c>
      <c r="E19" s="5"/>
      <c r="F19" s="5"/>
      <c r="G19" s="5"/>
    </row>
    <row r="20" spans="1:7">
      <c r="A20" t="s">
        <v>106</v>
      </c>
    </row>
    <row r="21" spans="1:7">
      <c r="A21" t="s">
        <v>19</v>
      </c>
    </row>
    <row r="22" spans="1:7">
      <c r="A22" t="s">
        <v>25</v>
      </c>
    </row>
    <row r="24" spans="1:7" ht="18" thickBot="1">
      <c r="A24" s="9" t="s">
        <v>118</v>
      </c>
    </row>
    <row r="25" spans="1:7" ht="43.5" thickBot="1">
      <c r="A25" s="6" t="s">
        <v>9</v>
      </c>
      <c r="B25" s="51" t="s">
        <v>323</v>
      </c>
      <c r="C25" s="52" t="s">
        <v>109</v>
      </c>
      <c r="D25" s="52" t="s">
        <v>110</v>
      </c>
      <c r="E25" s="6" t="s">
        <v>10</v>
      </c>
      <c r="F25" s="6" t="s">
        <v>8</v>
      </c>
      <c r="G25" s="6" t="s">
        <v>18</v>
      </c>
    </row>
    <row r="26" spans="1:7">
      <c r="A26" s="7" t="s">
        <v>5</v>
      </c>
      <c r="C26" s="2"/>
      <c r="D26" s="2"/>
      <c r="E26" s="2"/>
      <c r="F26" s="2"/>
      <c r="G26" s="2"/>
    </row>
    <row r="27" spans="1:7">
      <c r="A27" s="1" t="s">
        <v>111</v>
      </c>
      <c r="B27" s="53"/>
      <c r="C27" s="12"/>
      <c r="D27" s="54" t="e">
        <f t="shared" ref="D27:D33" si="0">SQRT(C27/100*(1-C27/100)/B27)*100</f>
        <v>#DIV/0!</v>
      </c>
      <c r="E27" s="55">
        <v>15631</v>
      </c>
      <c r="F27" s="2">
        <f t="shared" ref="F27:F32" si="1">+C27*E27</f>
        <v>0</v>
      </c>
      <c r="G27" s="2" t="e">
        <f t="shared" ref="G27:G32" si="2">+D27*D27*E27*E27</f>
        <v>#DIV/0!</v>
      </c>
    </row>
    <row r="28" spans="1:7">
      <c r="A28" s="1" t="s">
        <v>112</v>
      </c>
      <c r="B28" s="53"/>
      <c r="C28" s="12"/>
      <c r="D28" s="54" t="e">
        <f t="shared" si="0"/>
        <v>#DIV/0!</v>
      </c>
      <c r="E28" s="55">
        <v>18491</v>
      </c>
      <c r="F28" s="2">
        <f t="shared" si="1"/>
        <v>0</v>
      </c>
      <c r="G28" s="2" t="e">
        <f t="shared" si="2"/>
        <v>#DIV/0!</v>
      </c>
    </row>
    <row r="29" spans="1:7">
      <c r="A29" s="1" t="s">
        <v>113</v>
      </c>
      <c r="B29" s="53"/>
      <c r="C29" s="12"/>
      <c r="D29" s="54" t="e">
        <f t="shared" si="0"/>
        <v>#DIV/0!</v>
      </c>
      <c r="E29" s="55">
        <v>15806</v>
      </c>
      <c r="F29" s="2">
        <f t="shared" si="1"/>
        <v>0</v>
      </c>
      <c r="G29" s="2" t="e">
        <f t="shared" si="2"/>
        <v>#DIV/0!</v>
      </c>
    </row>
    <row r="30" spans="1:7">
      <c r="A30" s="1" t="s">
        <v>114</v>
      </c>
      <c r="B30" s="53"/>
      <c r="C30" s="12"/>
      <c r="D30" s="54" t="e">
        <f t="shared" si="0"/>
        <v>#DIV/0!</v>
      </c>
      <c r="E30" s="55">
        <v>19052</v>
      </c>
      <c r="F30" s="2">
        <f t="shared" si="1"/>
        <v>0</v>
      </c>
      <c r="G30" s="2" t="e">
        <f t="shared" si="2"/>
        <v>#DIV/0!</v>
      </c>
    </row>
    <row r="31" spans="1:7">
      <c r="A31" s="1" t="s">
        <v>115</v>
      </c>
      <c r="B31" s="53"/>
      <c r="C31" s="12"/>
      <c r="D31" s="54" t="e">
        <f t="shared" si="0"/>
        <v>#DIV/0!</v>
      </c>
      <c r="E31" s="55">
        <v>15977</v>
      </c>
      <c r="F31" s="2">
        <f t="shared" si="1"/>
        <v>0</v>
      </c>
      <c r="G31" s="2" t="e">
        <f t="shared" si="2"/>
        <v>#DIV/0!</v>
      </c>
    </row>
    <row r="32" spans="1:7">
      <c r="A32" s="1" t="s">
        <v>116</v>
      </c>
      <c r="B32" s="53"/>
      <c r="C32" s="12"/>
      <c r="D32" s="54" t="e">
        <f t="shared" si="0"/>
        <v>#DIV/0!</v>
      </c>
      <c r="E32" s="55">
        <v>18239</v>
      </c>
      <c r="F32" s="2">
        <f t="shared" si="1"/>
        <v>0</v>
      </c>
      <c r="G32" s="2" t="e">
        <f t="shared" si="2"/>
        <v>#DIV/0!</v>
      </c>
    </row>
    <row r="33" spans="1:7">
      <c r="A33" s="1" t="s">
        <v>117</v>
      </c>
      <c r="B33" s="53"/>
      <c r="C33" s="12"/>
      <c r="D33" s="54" t="e">
        <f t="shared" si="0"/>
        <v>#DIV/0!</v>
      </c>
      <c r="E33" s="2">
        <f>SUM(E27:E32)</f>
        <v>103196</v>
      </c>
      <c r="F33" s="2">
        <f>+SUM(F27:F32)</f>
        <v>0</v>
      </c>
      <c r="G33" s="2" t="e">
        <f>+SUM(G27:G32)</f>
        <v>#DIV/0!</v>
      </c>
    </row>
    <row r="34" spans="1:7">
      <c r="A34" s="3" t="s">
        <v>4</v>
      </c>
      <c r="B34" s="56" t="s">
        <v>77</v>
      </c>
      <c r="C34" s="13">
        <f>+F33/E33</f>
        <v>0</v>
      </c>
      <c r="D34" s="13" t="e">
        <f>SQRT(G33)/E33</f>
        <v>#DIV/0!</v>
      </c>
      <c r="E34" s="2"/>
      <c r="F34" s="2"/>
      <c r="G34" s="2"/>
    </row>
    <row r="35" spans="1:7">
      <c r="A35" s="7" t="s">
        <v>6</v>
      </c>
      <c r="B35" s="58"/>
      <c r="C35" s="14"/>
      <c r="D35" s="14"/>
      <c r="E35" s="2"/>
      <c r="F35" s="2"/>
      <c r="G35" s="2"/>
    </row>
    <row r="36" spans="1:7">
      <c r="A36" s="1" t="s">
        <v>75</v>
      </c>
      <c r="B36" s="53"/>
      <c r="C36" s="12"/>
      <c r="D36" s="54" t="e">
        <f t="shared" ref="D36:D42" si="3">SQRT(C36/100*(1-C36/100)/B36)*100</f>
        <v>#DIV/0!</v>
      </c>
      <c r="E36" s="55">
        <v>15631</v>
      </c>
      <c r="F36" s="55">
        <f t="shared" ref="F36:F41" si="4">+C36*E36</f>
        <v>0</v>
      </c>
      <c r="G36" s="55" t="e">
        <f t="shared" ref="G36:G41" si="5">+D36*D36*E36*E36</f>
        <v>#DIV/0!</v>
      </c>
    </row>
    <row r="37" spans="1:7">
      <c r="A37" s="1" t="s">
        <v>76</v>
      </c>
      <c r="B37" s="53"/>
      <c r="C37" s="12"/>
      <c r="D37" s="54" t="e">
        <f t="shared" si="3"/>
        <v>#DIV/0!</v>
      </c>
      <c r="E37" s="55">
        <v>18491</v>
      </c>
      <c r="F37" s="55">
        <f t="shared" si="4"/>
        <v>0</v>
      </c>
      <c r="G37" s="55" t="e">
        <f t="shared" si="5"/>
        <v>#DIV/0!</v>
      </c>
    </row>
    <row r="38" spans="1:7">
      <c r="A38" s="1" t="s">
        <v>78</v>
      </c>
      <c r="B38" s="53"/>
      <c r="C38" s="12"/>
      <c r="D38" s="54" t="e">
        <f t="shared" si="3"/>
        <v>#DIV/0!</v>
      </c>
      <c r="E38" s="55">
        <v>15806</v>
      </c>
      <c r="F38" s="55">
        <f t="shared" si="4"/>
        <v>0</v>
      </c>
      <c r="G38" s="55" t="e">
        <f t="shared" si="5"/>
        <v>#DIV/0!</v>
      </c>
    </row>
    <row r="39" spans="1:7">
      <c r="A39" s="1" t="s">
        <v>79</v>
      </c>
      <c r="B39" s="53"/>
      <c r="C39" s="12"/>
      <c r="D39" s="54" t="e">
        <f t="shared" si="3"/>
        <v>#DIV/0!</v>
      </c>
      <c r="E39" s="55">
        <v>19052</v>
      </c>
      <c r="F39" s="55">
        <f t="shared" si="4"/>
        <v>0</v>
      </c>
      <c r="G39" s="55" t="e">
        <f t="shared" si="5"/>
        <v>#DIV/0!</v>
      </c>
    </row>
    <row r="40" spans="1:7">
      <c r="A40" s="1" t="s">
        <v>80</v>
      </c>
      <c r="B40" s="53"/>
      <c r="C40" s="12"/>
      <c r="D40" s="54" t="e">
        <f t="shared" si="3"/>
        <v>#DIV/0!</v>
      </c>
      <c r="E40" s="55">
        <v>15977</v>
      </c>
      <c r="F40" s="55">
        <f t="shared" si="4"/>
        <v>0</v>
      </c>
      <c r="G40" s="55" t="e">
        <f t="shared" si="5"/>
        <v>#DIV/0!</v>
      </c>
    </row>
    <row r="41" spans="1:7">
      <c r="A41" s="1" t="s">
        <v>2</v>
      </c>
      <c r="B41" s="53"/>
      <c r="C41" s="12"/>
      <c r="D41" s="54" t="e">
        <f t="shared" si="3"/>
        <v>#DIV/0!</v>
      </c>
      <c r="E41" s="55">
        <v>18239</v>
      </c>
      <c r="F41" s="55">
        <f t="shared" si="4"/>
        <v>0</v>
      </c>
      <c r="G41" s="55" t="e">
        <f t="shared" si="5"/>
        <v>#DIV/0!</v>
      </c>
    </row>
    <row r="42" spans="1:7">
      <c r="A42" s="1" t="s">
        <v>3</v>
      </c>
      <c r="B42" s="53"/>
      <c r="C42" s="12"/>
      <c r="D42" s="54" t="e">
        <f t="shared" si="3"/>
        <v>#DIV/0!</v>
      </c>
      <c r="E42" s="55">
        <f>SUM(E36:E41)</f>
        <v>103196</v>
      </c>
      <c r="F42" s="55">
        <f>+SUM(F36:F41)</f>
        <v>0</v>
      </c>
      <c r="G42" s="55" t="e">
        <f>+SUM(G36:G41)</f>
        <v>#DIV/0!</v>
      </c>
    </row>
    <row r="43" spans="1:7">
      <c r="A43" s="3" t="s">
        <v>4</v>
      </c>
      <c r="B43" s="56" t="s">
        <v>77</v>
      </c>
      <c r="C43" s="13">
        <f>+F42/E42</f>
        <v>0</v>
      </c>
      <c r="D43" s="13" t="e">
        <f>SQRT(G42)/E42</f>
        <v>#DIV/0!</v>
      </c>
      <c r="E43" s="1"/>
      <c r="F43" s="1"/>
      <c r="G43" s="1"/>
    </row>
    <row r="44" spans="1:7">
      <c r="A44" s="8" t="s">
        <v>11</v>
      </c>
      <c r="B44" s="59"/>
      <c r="E44" s="1"/>
      <c r="F44" s="1"/>
      <c r="G44" s="1"/>
    </row>
    <row r="45" spans="1:7">
      <c r="A45" s="1" t="s">
        <v>66</v>
      </c>
      <c r="B45" s="53"/>
      <c r="C45" s="12"/>
      <c r="D45" s="54" t="e">
        <f>SQRT(C45/100*(1-C45/100)/B45)*100</f>
        <v>#DIV/0!</v>
      </c>
      <c r="E45" s="1"/>
      <c r="F45" s="1"/>
      <c r="G45" s="1"/>
    </row>
    <row r="46" spans="1:7" ht="14.25" thickBot="1">
      <c r="A46" s="4" t="s">
        <v>7</v>
      </c>
      <c r="B46" s="60" t="s">
        <v>81</v>
      </c>
      <c r="C46" s="15">
        <f>+(F33+F42)/(E33+E42)</f>
        <v>0</v>
      </c>
      <c r="D46" s="15" t="e">
        <f>+SQRT(G33+G42)/(E33+E42)</f>
        <v>#DIV/0!</v>
      </c>
      <c r="E46" s="5"/>
      <c r="F46" s="5"/>
      <c r="G46" s="5"/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workbookViewId="0"/>
  </sheetViews>
  <sheetFormatPr defaultRowHeight="13.5"/>
  <cols>
    <col min="1" max="1" width="7.625" customWidth="1"/>
    <col min="2" max="5" width="8.625" customWidth="1"/>
    <col min="6" max="6" width="1.625" customWidth="1"/>
    <col min="9" max="9" width="1.625" customWidth="1"/>
    <col min="12" max="12" width="1.625" customWidth="1"/>
  </cols>
  <sheetData>
    <row r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4.25" thickBot="1">
      <c r="A2" s="11" t="s">
        <v>151</v>
      </c>
      <c r="B2" s="11"/>
      <c r="D2" s="17"/>
      <c r="E2" s="18"/>
      <c r="F2" s="18"/>
      <c r="G2" s="11"/>
      <c r="H2" s="11"/>
      <c r="I2" s="11"/>
      <c r="J2" s="11"/>
      <c r="K2" s="11"/>
      <c r="L2" s="11"/>
      <c r="M2" s="11"/>
      <c r="N2" s="11"/>
    </row>
    <row r="3" spans="1:14" ht="14.25" thickBot="1">
      <c r="A3" s="19"/>
      <c r="B3" s="19"/>
      <c r="C3" s="281" t="s">
        <v>27</v>
      </c>
      <c r="D3" s="282"/>
      <c r="E3" s="282"/>
      <c r="F3" s="20"/>
      <c r="G3" s="283" t="s">
        <v>45</v>
      </c>
      <c r="H3" s="283"/>
      <c r="I3" s="19"/>
      <c r="J3" s="283" t="s">
        <v>28</v>
      </c>
      <c r="K3" s="283"/>
      <c r="L3" s="19"/>
      <c r="M3" s="283" t="s">
        <v>29</v>
      </c>
      <c r="N3" s="283"/>
    </row>
    <row r="4" spans="1:14" ht="27.75" thickBot="1">
      <c r="A4" s="21"/>
      <c r="B4" s="21"/>
      <c r="C4" s="22" t="s">
        <v>30</v>
      </c>
      <c r="D4" s="23" t="s">
        <v>31</v>
      </c>
      <c r="E4" s="24" t="s">
        <v>32</v>
      </c>
      <c r="F4" s="24"/>
      <c r="G4" s="25" t="s">
        <v>33</v>
      </c>
      <c r="H4" s="23" t="s">
        <v>34</v>
      </c>
      <c r="I4" s="23"/>
      <c r="J4" s="23" t="s">
        <v>35</v>
      </c>
      <c r="K4" s="23" t="s">
        <v>34</v>
      </c>
      <c r="L4" s="23"/>
      <c r="M4" s="23" t="s">
        <v>35</v>
      </c>
      <c r="N4" s="23" t="s">
        <v>34</v>
      </c>
    </row>
    <row r="5" spans="1:14">
      <c r="A5" s="11" t="s">
        <v>5</v>
      </c>
      <c r="B5" s="11" t="s">
        <v>36</v>
      </c>
      <c r="C5" s="38">
        <v>114</v>
      </c>
      <c r="D5" s="10">
        <v>1</v>
      </c>
      <c r="E5" s="32">
        <f t="shared" ref="E5:E19" si="0">+D5/C5</f>
        <v>8.771929824561403E-3</v>
      </c>
      <c r="F5" s="18"/>
      <c r="G5" s="38">
        <v>7823</v>
      </c>
      <c r="H5" s="35">
        <f t="shared" ref="H5:H10" si="1">+G5*$E5</f>
        <v>68.622807017543849</v>
      </c>
      <c r="I5" s="26"/>
      <c r="J5" s="38">
        <v>6641</v>
      </c>
      <c r="K5" s="35">
        <f t="shared" ref="K5:K10" si="2">+J5*$E5</f>
        <v>58.254385964912281</v>
      </c>
      <c r="L5" s="26"/>
      <c r="M5" s="38">
        <v>6115</v>
      </c>
      <c r="N5" s="35">
        <f t="shared" ref="N5:N10" si="3">+M5*$E5</f>
        <v>53.640350877192979</v>
      </c>
    </row>
    <row r="6" spans="1:14">
      <c r="A6" s="11"/>
      <c r="B6" s="11" t="s">
        <v>37</v>
      </c>
      <c r="C6" s="38">
        <v>212</v>
      </c>
      <c r="D6" s="10">
        <v>5</v>
      </c>
      <c r="E6" s="32">
        <f t="shared" si="0"/>
        <v>2.358490566037736E-2</v>
      </c>
      <c r="F6" s="18"/>
      <c r="G6" s="38">
        <v>9568</v>
      </c>
      <c r="H6" s="35">
        <f t="shared" si="1"/>
        <v>225.66037735849059</v>
      </c>
      <c r="I6" s="26"/>
      <c r="J6" s="38">
        <v>7971</v>
      </c>
      <c r="K6" s="35">
        <f t="shared" si="2"/>
        <v>187.99528301886795</v>
      </c>
      <c r="L6" s="26"/>
      <c r="M6" s="38">
        <v>6648</v>
      </c>
      <c r="N6" s="35">
        <f t="shared" si="3"/>
        <v>156.79245283018869</v>
      </c>
    </row>
    <row r="7" spans="1:14">
      <c r="A7" s="11"/>
      <c r="B7" s="11" t="s">
        <v>38</v>
      </c>
      <c r="C7" s="38">
        <v>207</v>
      </c>
      <c r="D7" s="10">
        <v>29</v>
      </c>
      <c r="E7" s="32">
        <f t="shared" si="0"/>
        <v>0.14009661835748793</v>
      </c>
      <c r="F7" s="18"/>
      <c r="G7" s="38">
        <v>7877</v>
      </c>
      <c r="H7" s="35">
        <f t="shared" si="1"/>
        <v>1103.5410628019324</v>
      </c>
      <c r="I7" s="26"/>
      <c r="J7" s="38">
        <v>9200</v>
      </c>
      <c r="K7" s="35">
        <f t="shared" si="2"/>
        <v>1288.8888888888889</v>
      </c>
      <c r="L7" s="26"/>
      <c r="M7" s="38">
        <v>7820</v>
      </c>
      <c r="N7" s="35">
        <f t="shared" si="3"/>
        <v>1095.5555555555557</v>
      </c>
    </row>
    <row r="8" spans="1:14">
      <c r="A8" s="11"/>
      <c r="B8" s="11" t="s">
        <v>39</v>
      </c>
      <c r="C8" s="38">
        <v>350</v>
      </c>
      <c r="D8" s="10">
        <v>92</v>
      </c>
      <c r="E8" s="32">
        <f t="shared" si="0"/>
        <v>0.26285714285714284</v>
      </c>
      <c r="F8" s="18"/>
      <c r="G8" s="38">
        <v>9560</v>
      </c>
      <c r="H8" s="35">
        <f t="shared" si="1"/>
        <v>2512.9142857142856</v>
      </c>
      <c r="I8" s="26"/>
      <c r="J8" s="38">
        <v>7652</v>
      </c>
      <c r="K8" s="35">
        <f t="shared" si="2"/>
        <v>2011.3828571428571</v>
      </c>
      <c r="L8" s="26"/>
      <c r="M8" s="38">
        <v>8870</v>
      </c>
      <c r="N8" s="35">
        <f t="shared" si="3"/>
        <v>2331.542857142857</v>
      </c>
    </row>
    <row r="9" spans="1:14">
      <c r="A9" s="11"/>
      <c r="B9" s="11" t="s">
        <v>40</v>
      </c>
      <c r="C9" s="38">
        <v>389</v>
      </c>
      <c r="D9" s="10">
        <v>113</v>
      </c>
      <c r="E9" s="32">
        <f t="shared" si="0"/>
        <v>0.29048843187660667</v>
      </c>
      <c r="F9" s="18"/>
      <c r="G9" s="38">
        <v>7606</v>
      </c>
      <c r="H9" s="35">
        <f t="shared" si="1"/>
        <v>2209.4550128534702</v>
      </c>
      <c r="I9" s="26"/>
      <c r="J9" s="38">
        <v>8710</v>
      </c>
      <c r="K9" s="35">
        <f t="shared" si="2"/>
        <v>2530.1542416452439</v>
      </c>
      <c r="L9" s="26"/>
      <c r="M9" s="38">
        <v>7079</v>
      </c>
      <c r="N9" s="35">
        <f t="shared" si="3"/>
        <v>2056.3676092544988</v>
      </c>
    </row>
    <row r="10" spans="1:14">
      <c r="A10" s="11"/>
      <c r="B10" s="11" t="s">
        <v>41</v>
      </c>
      <c r="C10" s="38">
        <v>472</v>
      </c>
      <c r="D10" s="10">
        <v>167</v>
      </c>
      <c r="E10" s="32">
        <f t="shared" si="0"/>
        <v>0.3538135593220339</v>
      </c>
      <c r="F10" s="18"/>
      <c r="G10" s="38">
        <v>7666</v>
      </c>
      <c r="H10" s="35">
        <f t="shared" si="1"/>
        <v>2712.3347457627119</v>
      </c>
      <c r="I10" s="26"/>
      <c r="J10" s="38">
        <v>9955</v>
      </c>
      <c r="K10" s="35">
        <f t="shared" si="2"/>
        <v>3522.2139830508477</v>
      </c>
      <c r="L10" s="26"/>
      <c r="M10" s="38">
        <v>12189</v>
      </c>
      <c r="N10" s="35">
        <f t="shared" si="3"/>
        <v>4312.6334745762715</v>
      </c>
    </row>
    <row r="11" spans="1:14">
      <c r="A11" s="27"/>
      <c r="B11" s="27" t="s">
        <v>42</v>
      </c>
      <c r="C11" s="36">
        <f>SUM(C5:C10)</f>
        <v>1744</v>
      </c>
      <c r="D11" s="39">
        <f>SUM(D5:D10)</f>
        <v>407</v>
      </c>
      <c r="E11" s="33">
        <f t="shared" si="0"/>
        <v>0.23337155963302753</v>
      </c>
      <c r="F11" s="29"/>
      <c r="G11" s="36">
        <f>SUM(G5:G10)</f>
        <v>50100</v>
      </c>
      <c r="H11" s="44">
        <f>SUM(H5:H10)</f>
        <v>8832.5282915084335</v>
      </c>
      <c r="I11" s="28"/>
      <c r="J11" s="36">
        <f>SUM(J5:J10)</f>
        <v>50129</v>
      </c>
      <c r="K11" s="44">
        <f>SUM(K5:K10)</f>
        <v>9598.8896397116187</v>
      </c>
      <c r="L11" s="28"/>
      <c r="M11" s="36">
        <f>SUM(M5:M10)</f>
        <v>48721</v>
      </c>
      <c r="N11" s="44">
        <f>SUM(N5:N10)</f>
        <v>10006.532300236566</v>
      </c>
    </row>
    <row r="12" spans="1:14">
      <c r="A12" s="11" t="s">
        <v>43</v>
      </c>
      <c r="B12" s="11" t="s">
        <v>36</v>
      </c>
      <c r="C12" s="38">
        <v>166</v>
      </c>
      <c r="D12" s="10">
        <v>2</v>
      </c>
      <c r="E12" s="32">
        <f t="shared" si="0"/>
        <v>1.2048192771084338E-2</v>
      </c>
      <c r="F12" s="18"/>
      <c r="G12" s="10">
        <v>7504</v>
      </c>
      <c r="H12" s="35">
        <f t="shared" ref="H12:H17" si="4">+G12*$E12</f>
        <v>90.409638554216869</v>
      </c>
      <c r="I12" s="26"/>
      <c r="J12" s="10">
        <v>6315</v>
      </c>
      <c r="K12" s="35">
        <f t="shared" ref="K12:K17" si="5">+J12*$E12</f>
        <v>76.0843373493976</v>
      </c>
      <c r="L12" s="26"/>
      <c r="M12" s="10">
        <v>5856</v>
      </c>
      <c r="N12" s="35">
        <f t="shared" ref="N12:N17" si="6">+M12*$E12</f>
        <v>70.55421686746989</v>
      </c>
    </row>
    <row r="13" spans="1:14">
      <c r="A13" s="11"/>
      <c r="B13" s="11" t="s">
        <v>37</v>
      </c>
      <c r="C13" s="38">
        <v>395</v>
      </c>
      <c r="D13" s="10">
        <v>20</v>
      </c>
      <c r="E13" s="32">
        <f t="shared" si="0"/>
        <v>5.0632911392405063E-2</v>
      </c>
      <c r="F13" s="18"/>
      <c r="G13" s="10">
        <v>9349</v>
      </c>
      <c r="H13" s="35">
        <f t="shared" si="4"/>
        <v>473.36708860759495</v>
      </c>
      <c r="I13" s="26"/>
      <c r="J13" s="10">
        <v>7727</v>
      </c>
      <c r="K13" s="35">
        <f t="shared" si="5"/>
        <v>391.24050632911394</v>
      </c>
      <c r="L13" s="26"/>
      <c r="M13" s="10">
        <v>6372</v>
      </c>
      <c r="N13" s="35">
        <f t="shared" si="6"/>
        <v>322.63291139240505</v>
      </c>
    </row>
    <row r="14" spans="1:14">
      <c r="A14" s="11"/>
      <c r="B14" s="11" t="s">
        <v>38</v>
      </c>
      <c r="C14" s="38">
        <v>363</v>
      </c>
      <c r="D14" s="10">
        <v>48</v>
      </c>
      <c r="E14" s="32">
        <f t="shared" si="0"/>
        <v>0.13223140495867769</v>
      </c>
      <c r="F14" s="18"/>
      <c r="G14" s="10">
        <v>7800</v>
      </c>
      <c r="H14" s="35">
        <f t="shared" si="4"/>
        <v>1031.404958677686</v>
      </c>
      <c r="I14" s="26"/>
      <c r="J14" s="10">
        <v>9145</v>
      </c>
      <c r="K14" s="35">
        <f t="shared" si="5"/>
        <v>1209.2561983471076</v>
      </c>
      <c r="L14" s="26"/>
      <c r="M14" s="10">
        <v>7701</v>
      </c>
      <c r="N14" s="35">
        <f t="shared" si="6"/>
        <v>1018.3140495867768</v>
      </c>
    </row>
    <row r="15" spans="1:14">
      <c r="A15" s="11"/>
      <c r="B15" s="11" t="s">
        <v>39</v>
      </c>
      <c r="C15" s="38">
        <v>525</v>
      </c>
      <c r="D15" s="10">
        <v>109</v>
      </c>
      <c r="E15" s="32">
        <f t="shared" si="0"/>
        <v>0.20761904761904762</v>
      </c>
      <c r="F15" s="18"/>
      <c r="G15" s="10">
        <v>9684</v>
      </c>
      <c r="H15" s="35">
        <f t="shared" si="4"/>
        <v>2010.5828571428572</v>
      </c>
      <c r="I15" s="26"/>
      <c r="J15" s="10">
        <v>7775</v>
      </c>
      <c r="K15" s="35">
        <f t="shared" si="5"/>
        <v>1614.2380952380952</v>
      </c>
      <c r="L15" s="26"/>
      <c r="M15" s="10">
        <v>9021</v>
      </c>
      <c r="N15" s="35">
        <f t="shared" si="6"/>
        <v>1872.9314285714286</v>
      </c>
    </row>
    <row r="16" spans="1:14">
      <c r="A16" s="11"/>
      <c r="B16" s="11" t="s">
        <v>40</v>
      </c>
      <c r="C16" s="38">
        <v>523</v>
      </c>
      <c r="D16" s="10">
        <v>151</v>
      </c>
      <c r="E16" s="32">
        <f t="shared" si="0"/>
        <v>0.28871892925430209</v>
      </c>
      <c r="F16" s="18"/>
      <c r="G16" s="10">
        <v>8161</v>
      </c>
      <c r="H16" s="35">
        <f t="shared" si="4"/>
        <v>2356.2351816443593</v>
      </c>
      <c r="I16" s="26"/>
      <c r="J16" s="10">
        <v>9302</v>
      </c>
      <c r="K16" s="35">
        <f t="shared" si="5"/>
        <v>2685.663479923518</v>
      </c>
      <c r="L16" s="26"/>
      <c r="M16" s="10">
        <v>7546</v>
      </c>
      <c r="N16" s="35">
        <f t="shared" si="6"/>
        <v>2178.6730401529635</v>
      </c>
    </row>
    <row r="17" spans="1:14">
      <c r="A17" s="11"/>
      <c r="B17" s="11" t="s">
        <v>41</v>
      </c>
      <c r="C17" s="38">
        <v>580</v>
      </c>
      <c r="D17" s="10">
        <v>199</v>
      </c>
      <c r="E17" s="32">
        <f t="shared" si="0"/>
        <v>0.34310344827586209</v>
      </c>
      <c r="F17" s="18"/>
      <c r="G17" s="10">
        <v>11314</v>
      </c>
      <c r="H17" s="35">
        <f t="shared" si="4"/>
        <v>3881.8724137931035</v>
      </c>
      <c r="I17" s="26"/>
      <c r="J17" s="10">
        <v>14214</v>
      </c>
      <c r="K17" s="35">
        <f t="shared" si="5"/>
        <v>4876.872413793104</v>
      </c>
      <c r="L17" s="26"/>
      <c r="M17" s="10">
        <v>17128</v>
      </c>
      <c r="N17" s="35">
        <f t="shared" si="6"/>
        <v>5876.6758620689661</v>
      </c>
    </row>
    <row r="18" spans="1:14">
      <c r="A18" s="27"/>
      <c r="B18" s="27" t="s">
        <v>42</v>
      </c>
      <c r="C18" s="40">
        <f>SUM(C12:C17)</f>
        <v>2552</v>
      </c>
      <c r="D18" s="41">
        <f>SUM(D12:D17)</f>
        <v>529</v>
      </c>
      <c r="E18" s="33">
        <f t="shared" si="0"/>
        <v>0.20728840125391851</v>
      </c>
      <c r="F18" s="29"/>
      <c r="G18" s="36">
        <f>SUM(G12:G17)</f>
        <v>53812</v>
      </c>
      <c r="H18" s="44">
        <f>SUM(H12:H17)</f>
        <v>9843.8721384198179</v>
      </c>
      <c r="I18" s="28"/>
      <c r="J18" s="36">
        <f>SUM(J12:J17)</f>
        <v>54478</v>
      </c>
      <c r="K18" s="44">
        <f>SUM(K12:K17)</f>
        <v>10853.355030980336</v>
      </c>
      <c r="L18" s="28"/>
      <c r="M18" s="36">
        <f>SUM(M12:M17)</f>
        <v>53624</v>
      </c>
      <c r="N18" s="44">
        <f>SUM(N12:N17)</f>
        <v>11339.781508640011</v>
      </c>
    </row>
    <row r="19" spans="1:14" ht="14.25" thickBot="1">
      <c r="A19" s="21" t="s">
        <v>11</v>
      </c>
      <c r="B19" s="21" t="s">
        <v>44</v>
      </c>
      <c r="C19" s="37">
        <f>+C11+C18</f>
        <v>4296</v>
      </c>
      <c r="D19" s="42">
        <f>+D11+D18</f>
        <v>936</v>
      </c>
      <c r="E19" s="34">
        <f t="shared" si="0"/>
        <v>0.21787709497206703</v>
      </c>
      <c r="F19" s="31"/>
      <c r="G19" s="42">
        <f>+G11+G18</f>
        <v>103912</v>
      </c>
      <c r="H19" s="43">
        <f>+H11+H18</f>
        <v>18676.400429928253</v>
      </c>
      <c r="I19" s="30"/>
      <c r="J19" s="42">
        <f>+J11+J18</f>
        <v>104607</v>
      </c>
      <c r="K19" s="43">
        <f>+K11+K18</f>
        <v>20452.244670691955</v>
      </c>
      <c r="L19" s="30"/>
      <c r="M19" s="42">
        <f>+M11+M18</f>
        <v>102345</v>
      </c>
      <c r="N19" s="43">
        <f>+N11+N18</f>
        <v>21346.313808876577</v>
      </c>
    </row>
    <row r="20" spans="1:14">
      <c r="A20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4">
    <mergeCell ref="C3:E3"/>
    <mergeCell ref="G3:H3"/>
    <mergeCell ref="J3:K3"/>
    <mergeCell ref="M3:N3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8"/>
  <sheetViews>
    <sheetView workbookViewId="0"/>
  </sheetViews>
  <sheetFormatPr defaultRowHeight="13.5"/>
  <cols>
    <col min="8" max="8" width="13" customWidth="1"/>
  </cols>
  <sheetData>
    <row r="1" spans="1:16">
      <c r="A1" s="146" t="s">
        <v>181</v>
      </c>
      <c r="B1" s="147"/>
      <c r="C1" s="147"/>
      <c r="D1" s="148"/>
      <c r="E1" s="148"/>
      <c r="F1" s="148"/>
      <c r="G1" s="148"/>
      <c r="H1" s="148"/>
      <c r="I1" s="149"/>
      <c r="J1" s="149"/>
      <c r="K1" s="149"/>
      <c r="L1" s="149"/>
      <c r="M1" s="149"/>
      <c r="N1" s="149"/>
      <c r="O1" s="149"/>
      <c r="P1" s="149"/>
    </row>
    <row r="2" spans="1:16">
      <c r="A2" s="147"/>
      <c r="B2" s="147"/>
      <c r="C2" s="147"/>
      <c r="D2" s="148"/>
      <c r="E2" s="148"/>
      <c r="F2" s="148"/>
      <c r="G2" s="148"/>
      <c r="H2" s="148"/>
      <c r="I2" s="149"/>
      <c r="J2" s="149"/>
      <c r="K2" s="149"/>
      <c r="L2" s="149"/>
      <c r="M2" s="149"/>
      <c r="N2" s="149"/>
      <c r="O2" s="149"/>
      <c r="P2" s="149"/>
    </row>
    <row r="3" spans="1:16">
      <c r="A3" s="150" t="s">
        <v>153</v>
      </c>
      <c r="B3" s="284" t="s">
        <v>154</v>
      </c>
      <c r="C3" s="284"/>
      <c r="D3" s="284"/>
      <c r="E3" s="285" t="s">
        <v>155</v>
      </c>
      <c r="F3" s="285"/>
      <c r="G3" s="285"/>
      <c r="H3" s="148"/>
      <c r="I3" s="149"/>
      <c r="J3" s="149"/>
      <c r="K3" s="149"/>
      <c r="L3" s="149"/>
      <c r="M3" s="149"/>
      <c r="N3" s="149"/>
      <c r="O3" s="149"/>
      <c r="P3" s="149"/>
    </row>
    <row r="4" spans="1:16" ht="27.75" thickBot="1">
      <c r="A4" s="151" t="s">
        <v>156</v>
      </c>
      <c r="B4" s="151" t="s">
        <v>185</v>
      </c>
      <c r="C4" s="151" t="s">
        <v>33</v>
      </c>
      <c r="D4" s="152" t="s">
        <v>182</v>
      </c>
      <c r="E4" s="153" t="s">
        <v>33</v>
      </c>
      <c r="F4" s="152" t="s">
        <v>183</v>
      </c>
      <c r="G4" s="152" t="s">
        <v>184</v>
      </c>
      <c r="H4" s="154"/>
      <c r="I4" s="149"/>
      <c r="J4" s="149"/>
      <c r="K4" s="149"/>
      <c r="L4" s="149"/>
      <c r="M4" s="149"/>
      <c r="N4" s="149"/>
      <c r="O4" s="149"/>
      <c r="P4" s="149"/>
    </row>
    <row r="5" spans="1:16">
      <c r="A5" s="155" t="s">
        <v>187</v>
      </c>
      <c r="B5" s="156">
        <v>10</v>
      </c>
      <c r="C5" s="157">
        <v>50000</v>
      </c>
      <c r="D5" s="158">
        <f t="shared" ref="D5:D13" si="0">B5/C5</f>
        <v>2.0000000000000001E-4</v>
      </c>
      <c r="E5" s="159">
        <v>4000</v>
      </c>
      <c r="F5" s="160">
        <f>D5*E5</f>
        <v>0.8</v>
      </c>
      <c r="G5" s="161"/>
      <c r="H5" s="162"/>
      <c r="I5" s="149"/>
      <c r="J5" s="149"/>
      <c r="K5" s="149"/>
      <c r="L5" s="149"/>
      <c r="M5" s="149"/>
      <c r="N5" s="149" t="s">
        <v>163</v>
      </c>
      <c r="O5" s="149"/>
      <c r="P5" s="149"/>
    </row>
    <row r="6" spans="1:16">
      <c r="A6" s="155" t="s">
        <v>188</v>
      </c>
      <c r="B6" s="156">
        <v>15</v>
      </c>
      <c r="C6" s="157">
        <v>55000</v>
      </c>
      <c r="D6" s="158">
        <f t="shared" si="0"/>
        <v>2.7272727272727274E-4</v>
      </c>
      <c r="E6" s="181">
        <v>4200</v>
      </c>
      <c r="F6" s="160">
        <f t="shared" ref="F6:F13" si="1">D6*E6</f>
        <v>1.1454545454545455</v>
      </c>
      <c r="G6" s="161"/>
      <c r="H6" s="162"/>
      <c r="I6" s="149"/>
      <c r="J6" s="149"/>
      <c r="K6" s="149"/>
      <c r="L6" s="149"/>
      <c r="M6" s="149"/>
      <c r="N6" s="149"/>
      <c r="O6" s="149"/>
      <c r="P6" s="149"/>
    </row>
    <row r="7" spans="1:16">
      <c r="A7" s="155" t="s">
        <v>189</v>
      </c>
      <c r="B7" s="156">
        <v>20</v>
      </c>
      <c r="C7" s="157">
        <v>60000</v>
      </c>
      <c r="D7" s="158">
        <f t="shared" si="0"/>
        <v>3.3333333333333332E-4</v>
      </c>
      <c r="E7" s="181">
        <v>5000</v>
      </c>
      <c r="F7" s="160">
        <f t="shared" si="1"/>
        <v>1.6666666666666665</v>
      </c>
      <c r="G7" s="161"/>
      <c r="H7" s="162"/>
      <c r="I7" s="149"/>
      <c r="J7" s="149"/>
      <c r="K7" s="149"/>
      <c r="L7" s="149"/>
      <c r="M7" s="149"/>
      <c r="N7" s="149"/>
      <c r="O7" s="149"/>
      <c r="P7" s="149"/>
    </row>
    <row r="8" spans="1:16">
      <c r="A8" s="155" t="s">
        <v>190</v>
      </c>
      <c r="B8" s="156">
        <v>30</v>
      </c>
      <c r="C8" s="157">
        <v>65000</v>
      </c>
      <c r="D8" s="158">
        <f t="shared" si="0"/>
        <v>4.6153846153846153E-4</v>
      </c>
      <c r="E8" s="181">
        <v>5500</v>
      </c>
      <c r="F8" s="160">
        <f t="shared" si="1"/>
        <v>2.5384615384615383</v>
      </c>
      <c r="G8" s="161"/>
      <c r="H8" s="162"/>
      <c r="I8" s="149"/>
      <c r="J8" s="149"/>
      <c r="K8" s="149"/>
      <c r="L8" s="149"/>
      <c r="M8" s="149"/>
      <c r="N8" s="149"/>
      <c r="O8" s="149"/>
      <c r="P8" s="149"/>
    </row>
    <row r="9" spans="1:16">
      <c r="A9" s="155" t="s">
        <v>191</v>
      </c>
      <c r="B9" s="156">
        <v>60</v>
      </c>
      <c r="C9" s="157">
        <v>63000</v>
      </c>
      <c r="D9" s="158">
        <f t="shared" si="0"/>
        <v>9.5238095238095238E-4</v>
      </c>
      <c r="E9" s="181">
        <v>5200</v>
      </c>
      <c r="F9" s="160">
        <f t="shared" si="1"/>
        <v>4.9523809523809526</v>
      </c>
      <c r="G9" s="161"/>
      <c r="H9" s="162"/>
      <c r="I9" s="149"/>
      <c r="J9" s="149"/>
      <c r="K9" s="149"/>
      <c r="L9" s="149"/>
      <c r="M9" s="149"/>
      <c r="N9" s="149"/>
      <c r="O9" s="149"/>
      <c r="P9" s="149"/>
    </row>
    <row r="10" spans="1:16">
      <c r="A10" s="155" t="s">
        <v>192</v>
      </c>
      <c r="B10" s="156">
        <v>100</v>
      </c>
      <c r="C10" s="157">
        <v>60000</v>
      </c>
      <c r="D10" s="158">
        <f t="shared" si="0"/>
        <v>1.6666666666666668E-3</v>
      </c>
      <c r="E10" s="181">
        <v>4000</v>
      </c>
      <c r="F10" s="160">
        <f t="shared" si="1"/>
        <v>6.666666666666667</v>
      </c>
      <c r="G10" s="161"/>
      <c r="H10" s="162"/>
      <c r="I10" s="149"/>
      <c r="J10" s="149"/>
      <c r="K10" s="149"/>
      <c r="L10" s="149"/>
      <c r="M10" s="149"/>
      <c r="N10" s="149"/>
      <c r="O10" s="149"/>
      <c r="P10" s="149"/>
    </row>
    <row r="11" spans="1:16">
      <c r="A11" s="155" t="s">
        <v>166</v>
      </c>
      <c r="B11" s="156">
        <v>200</v>
      </c>
      <c r="C11" s="157">
        <v>55000</v>
      </c>
      <c r="D11" s="158">
        <f>B11/C11</f>
        <v>3.6363636363636364E-3</v>
      </c>
      <c r="E11" s="163">
        <v>3500</v>
      </c>
      <c r="F11" s="160">
        <f t="shared" si="1"/>
        <v>12.727272727272727</v>
      </c>
      <c r="G11" s="161"/>
      <c r="H11" s="162"/>
      <c r="I11" s="149" t="s">
        <v>167</v>
      </c>
      <c r="J11" s="149"/>
      <c r="K11" s="149"/>
      <c r="L11" s="149"/>
      <c r="M11" s="149"/>
      <c r="N11" s="149" t="s">
        <v>168</v>
      </c>
      <c r="O11" s="149"/>
      <c r="P11" s="149"/>
    </row>
    <row r="12" spans="1:16">
      <c r="A12" s="155" t="s">
        <v>193</v>
      </c>
      <c r="B12" s="156">
        <v>400</v>
      </c>
      <c r="C12" s="157">
        <v>40000</v>
      </c>
      <c r="D12" s="158">
        <f t="shared" si="0"/>
        <v>0.01</v>
      </c>
      <c r="E12" s="182">
        <v>2800</v>
      </c>
      <c r="F12" s="160">
        <f t="shared" si="1"/>
        <v>28</v>
      </c>
      <c r="G12" s="165"/>
      <c r="H12" s="162"/>
      <c r="I12" s="149"/>
      <c r="J12" s="149"/>
      <c r="K12" s="149"/>
      <c r="L12" s="149"/>
      <c r="M12" s="149"/>
      <c r="N12" s="149"/>
      <c r="O12" s="149"/>
      <c r="P12" s="149"/>
    </row>
    <row r="13" spans="1:16" ht="14.25" thickBot="1">
      <c r="A13" s="155" t="s">
        <v>194</v>
      </c>
      <c r="B13" s="156">
        <v>700</v>
      </c>
      <c r="C13" s="157">
        <v>30000</v>
      </c>
      <c r="D13" s="158">
        <f t="shared" si="0"/>
        <v>2.3333333333333334E-2</v>
      </c>
      <c r="E13" s="164">
        <v>2000</v>
      </c>
      <c r="F13" s="160">
        <f t="shared" si="1"/>
        <v>46.666666666666671</v>
      </c>
      <c r="G13" s="165"/>
      <c r="H13" s="162" t="s">
        <v>186</v>
      </c>
      <c r="I13" s="149" t="s">
        <v>171</v>
      </c>
      <c r="J13" s="149" t="s">
        <v>172</v>
      </c>
      <c r="K13" s="149" t="s">
        <v>173</v>
      </c>
      <c r="L13" s="149" t="s">
        <v>174</v>
      </c>
      <c r="M13" s="149" t="s">
        <v>175</v>
      </c>
      <c r="N13" s="149" t="s">
        <v>176</v>
      </c>
      <c r="O13" s="149"/>
      <c r="P13" s="149"/>
    </row>
    <row r="14" spans="1:16" ht="14.25" thickBot="1">
      <c r="A14" s="166" t="s">
        <v>177</v>
      </c>
      <c r="B14" s="167">
        <f>SUM(B5:B13)</f>
        <v>1535</v>
      </c>
      <c r="C14" s="167">
        <f>SUM(C5:C13)</f>
        <v>478000</v>
      </c>
      <c r="D14" s="168">
        <f>B14/C14</f>
        <v>3.2112970711297073E-3</v>
      </c>
      <c r="E14" s="169">
        <f>SUM(E5:E13)</f>
        <v>36200</v>
      </c>
      <c r="F14" s="170">
        <f>SUM(F5:F13)</f>
        <v>105.16356976356977</v>
      </c>
      <c r="G14" s="171">
        <v>118</v>
      </c>
      <c r="H14" s="172">
        <f>G14/F14*100</f>
        <v>112.20615681389407</v>
      </c>
      <c r="I14" s="179">
        <f>(1-1/9/G14-1.96/3/SQRT(G14))^3*H14</f>
        <v>92.87404706429426</v>
      </c>
      <c r="J14" s="179">
        <f>+(G14+1)/G14*(1-1/9/(G14+1)+1.96/3/SQRT(G14+1))^3*H14</f>
        <v>134.37452438470461</v>
      </c>
      <c r="K14" s="173">
        <f>(ABS(G14-F14)-0.5)/SQRT(F14)</f>
        <v>1.2029756792682422</v>
      </c>
      <c r="L14" s="174">
        <f>2*(1-NORMDIST(ABS(K14),0,1,1))</f>
        <v>0.22898573219807616</v>
      </c>
      <c r="M14" s="175">
        <f>+IF(H14&lt;100,IF(L14&lt;0.05,1,2),IF(L14&lt;0.05,4,3))</f>
        <v>3</v>
      </c>
      <c r="N14" s="176" t="s">
        <v>178</v>
      </c>
      <c r="O14" s="149"/>
      <c r="P14" s="149"/>
    </row>
    <row r="15" spans="1:16">
      <c r="A15" s="149"/>
      <c r="B15" s="177" t="s">
        <v>179</v>
      </c>
      <c r="C15" s="149"/>
      <c r="D15" s="149"/>
      <c r="E15" s="149"/>
      <c r="F15" s="149"/>
      <c r="G15" s="178" t="s">
        <v>180</v>
      </c>
      <c r="H15" s="149"/>
      <c r="K15" s="180"/>
      <c r="L15" s="174"/>
      <c r="M15" s="149"/>
      <c r="N15" s="149"/>
      <c r="O15" s="149"/>
      <c r="P15" s="149"/>
    </row>
    <row r="16" spans="1:16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8" spans="1:16">
      <c r="A18" s="146" t="s">
        <v>152</v>
      </c>
      <c r="B18" s="147"/>
      <c r="C18" s="147"/>
      <c r="D18" s="148"/>
      <c r="E18" s="148"/>
      <c r="F18" s="148"/>
      <c r="G18" s="148"/>
      <c r="H18" s="148"/>
      <c r="I18" s="149"/>
      <c r="J18" s="149"/>
      <c r="K18" s="149"/>
      <c r="L18" s="149"/>
      <c r="M18" s="149"/>
      <c r="N18" s="149"/>
      <c r="O18" s="149"/>
      <c r="P18" s="149"/>
    </row>
    <row r="19" spans="1:16">
      <c r="A19" s="147"/>
      <c r="B19" s="147"/>
      <c r="C19" s="147"/>
      <c r="D19" s="148"/>
      <c r="E19" s="148"/>
      <c r="F19" s="148"/>
      <c r="G19" s="148"/>
      <c r="H19" s="148"/>
      <c r="I19" s="149"/>
      <c r="J19" s="149"/>
      <c r="K19" s="149"/>
      <c r="L19" s="149"/>
      <c r="M19" s="149"/>
      <c r="N19" s="149"/>
      <c r="O19" s="149"/>
      <c r="P19" s="149"/>
    </row>
    <row r="20" spans="1:16">
      <c r="A20" s="150" t="s">
        <v>153</v>
      </c>
      <c r="B20" s="284" t="s">
        <v>154</v>
      </c>
      <c r="C20" s="284"/>
      <c r="D20" s="284"/>
      <c r="E20" s="285" t="s">
        <v>155</v>
      </c>
      <c r="F20" s="285"/>
      <c r="G20" s="285"/>
      <c r="H20" s="148"/>
      <c r="I20" s="149"/>
      <c r="J20" s="149"/>
      <c r="K20" s="149"/>
      <c r="L20" s="149"/>
      <c r="M20" s="149"/>
      <c r="N20" s="149"/>
      <c r="O20" s="149"/>
      <c r="P20" s="149"/>
    </row>
    <row r="21" spans="1:16" ht="27.75" thickBot="1">
      <c r="A21" s="151" t="s">
        <v>156</v>
      </c>
      <c r="B21" s="151" t="s">
        <v>157</v>
      </c>
      <c r="C21" s="151" t="s">
        <v>158</v>
      </c>
      <c r="D21" s="152" t="s">
        <v>159</v>
      </c>
      <c r="E21" s="153" t="s">
        <v>158</v>
      </c>
      <c r="F21" s="152" t="s">
        <v>160</v>
      </c>
      <c r="G21" s="152" t="s">
        <v>161</v>
      </c>
      <c r="H21" s="154"/>
      <c r="I21" s="149"/>
      <c r="J21" s="149"/>
      <c r="K21" s="149"/>
      <c r="L21" s="149"/>
      <c r="M21" s="149"/>
      <c r="N21" s="149"/>
      <c r="O21" s="149"/>
      <c r="P21" s="149"/>
    </row>
    <row r="22" spans="1:16">
      <c r="A22" s="155" t="s">
        <v>162</v>
      </c>
      <c r="B22" s="156">
        <v>640</v>
      </c>
      <c r="C22" s="157">
        <v>20000</v>
      </c>
      <c r="D22" s="158">
        <f>B22/C22</f>
        <v>3.2000000000000001E-2</v>
      </c>
      <c r="E22" s="159">
        <v>3995</v>
      </c>
      <c r="F22" s="160">
        <f>D22*E22</f>
        <v>127.84</v>
      </c>
      <c r="G22" s="161"/>
      <c r="H22" s="162"/>
      <c r="I22" s="149"/>
      <c r="J22" s="149"/>
      <c r="K22" s="149"/>
      <c r="L22" s="149"/>
      <c r="M22" s="149"/>
      <c r="N22" s="149" t="s">
        <v>163</v>
      </c>
      <c r="O22" s="149"/>
      <c r="P22" s="149"/>
    </row>
    <row r="23" spans="1:16">
      <c r="A23" s="155" t="s">
        <v>164</v>
      </c>
      <c r="B23" s="156">
        <v>1800</v>
      </c>
      <c r="C23" s="157">
        <v>33000</v>
      </c>
      <c r="D23" s="158">
        <f>B23/C23</f>
        <v>5.4545454545454543E-2</v>
      </c>
      <c r="E23" s="163">
        <v>4603</v>
      </c>
      <c r="F23" s="160">
        <f>D23*E23</f>
        <v>251.07272727272726</v>
      </c>
      <c r="G23" s="161"/>
      <c r="H23" s="162"/>
      <c r="I23" s="149"/>
      <c r="J23" s="149"/>
      <c r="K23" s="149"/>
      <c r="L23" s="149"/>
      <c r="M23" s="149"/>
      <c r="N23" s="149" t="s">
        <v>165</v>
      </c>
      <c r="O23" s="149"/>
      <c r="P23" s="149"/>
    </row>
    <row r="24" spans="1:16">
      <c r="A24" s="155" t="s">
        <v>166</v>
      </c>
      <c r="B24" s="156">
        <v>5700</v>
      </c>
      <c r="C24" s="157">
        <v>60000</v>
      </c>
      <c r="D24" s="158">
        <f>B24/C24</f>
        <v>9.5000000000000001E-2</v>
      </c>
      <c r="E24" s="163">
        <v>4157</v>
      </c>
      <c r="F24" s="160">
        <f>D24*E24</f>
        <v>394.91500000000002</v>
      </c>
      <c r="G24" s="161"/>
      <c r="H24" s="162"/>
      <c r="I24" s="149" t="s">
        <v>167</v>
      </c>
      <c r="J24" s="149"/>
      <c r="K24" s="149"/>
      <c r="L24" s="149"/>
      <c r="M24" s="149"/>
      <c r="N24" s="149" t="s">
        <v>168</v>
      </c>
      <c r="O24" s="149"/>
      <c r="P24" s="149"/>
    </row>
    <row r="25" spans="1:16" ht="14.25" thickBot="1">
      <c r="A25" s="155" t="s">
        <v>169</v>
      </c>
      <c r="B25" s="156">
        <v>4200</v>
      </c>
      <c r="C25" s="157">
        <v>34000</v>
      </c>
      <c r="D25" s="158">
        <f>B25/C25</f>
        <v>0.12352941176470589</v>
      </c>
      <c r="E25" s="164">
        <v>4935</v>
      </c>
      <c r="F25" s="160">
        <f>D25*E25</f>
        <v>609.61764705882354</v>
      </c>
      <c r="G25" s="165"/>
      <c r="H25" s="162" t="s">
        <v>170</v>
      </c>
      <c r="I25" s="149" t="s">
        <v>171</v>
      </c>
      <c r="J25" s="149" t="s">
        <v>172</v>
      </c>
      <c r="K25" s="149" t="s">
        <v>173</v>
      </c>
      <c r="L25" s="149" t="s">
        <v>174</v>
      </c>
      <c r="M25" s="149" t="s">
        <v>175</v>
      </c>
      <c r="N25" s="149" t="s">
        <v>176</v>
      </c>
      <c r="O25" s="149"/>
      <c r="P25" s="149"/>
    </row>
    <row r="26" spans="1:16" ht="14.25" thickBot="1">
      <c r="A26" s="166" t="s">
        <v>177</v>
      </c>
      <c r="B26" s="167">
        <f>SUM(B22:B25)</f>
        <v>12340</v>
      </c>
      <c r="C26" s="167">
        <f>SUM(C22:C25)</f>
        <v>147000</v>
      </c>
      <c r="D26" s="168">
        <f>B26/C26</f>
        <v>8.394557823129252E-2</v>
      </c>
      <c r="E26" s="169">
        <f>SUM(E22:E25)</f>
        <v>17690</v>
      </c>
      <c r="F26" s="170">
        <f>SUM(F22:F25)</f>
        <v>1383.4453743315507</v>
      </c>
      <c r="G26" s="171">
        <v>1520</v>
      </c>
      <c r="H26" s="172">
        <f>G26/F26*100</f>
        <v>109.870619267091</v>
      </c>
      <c r="I26" s="179">
        <f>(1-1/9/G26-1.96/3/SQRT(G26))^3*H26</f>
        <v>104.41585250461971</v>
      </c>
      <c r="J26" s="179">
        <f>+(G26+1)/G26*(1-1/9/(G26+1)+1.96/3/SQRT(G26+1))^3*H26</f>
        <v>115.53640955651937</v>
      </c>
      <c r="K26" s="173">
        <f>(ABS(G26-F26)-0.5)/SQRT(F26)</f>
        <v>3.6579040046067925</v>
      </c>
      <c r="L26" s="174">
        <f>2*(1-NORMDIST(ABS(K26),0,1,1))</f>
        <v>2.5428624476142581E-4</v>
      </c>
      <c r="M26" s="175">
        <f>+IF(H26&lt;100,IF(L26&lt;0.05,1,2),IF(L26&lt;0.05,4,3))</f>
        <v>4</v>
      </c>
      <c r="N26" s="176" t="s">
        <v>178</v>
      </c>
      <c r="O26" s="149"/>
      <c r="P26" s="149"/>
    </row>
    <row r="27" spans="1:16">
      <c r="A27" s="149"/>
      <c r="B27" s="177" t="s">
        <v>179</v>
      </c>
      <c r="C27" s="149"/>
      <c r="D27" s="149"/>
      <c r="E27" s="149"/>
      <c r="F27" s="149"/>
      <c r="G27" s="178" t="s">
        <v>180</v>
      </c>
      <c r="H27" s="149"/>
      <c r="K27" s="180"/>
      <c r="L27" s="174"/>
      <c r="M27" s="149"/>
      <c r="N27" s="149"/>
      <c r="O27" s="149"/>
      <c r="P27" s="149"/>
    </row>
    <row r="28" spans="1:16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</sheetData>
  <mergeCells count="4">
    <mergeCell ref="B20:D20"/>
    <mergeCell ref="E20:G20"/>
    <mergeCell ref="B3:D3"/>
    <mergeCell ref="E3:G3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A40" sqref="A40"/>
    </sheetView>
  </sheetViews>
  <sheetFormatPr defaultRowHeight="13.5"/>
  <cols>
    <col min="1" max="16384" width="9" style="183"/>
  </cols>
  <sheetData>
    <row r="1" spans="1:9">
      <c r="A1" s="183" t="s">
        <v>195</v>
      </c>
    </row>
    <row r="2" spans="1:9">
      <c r="B2" s="183" t="s">
        <v>72</v>
      </c>
      <c r="C2" s="183" t="s">
        <v>0</v>
      </c>
      <c r="D2" s="183" t="s">
        <v>73</v>
      </c>
      <c r="E2" s="184" t="s">
        <v>196</v>
      </c>
      <c r="F2" s="184" t="s">
        <v>197</v>
      </c>
      <c r="G2" s="184" t="s">
        <v>198</v>
      </c>
      <c r="H2" s="184" t="s">
        <v>199</v>
      </c>
      <c r="I2" s="184" t="s">
        <v>200</v>
      </c>
    </row>
    <row r="3" spans="1:9">
      <c r="A3" s="183" t="s">
        <v>201</v>
      </c>
      <c r="B3" s="185">
        <v>100</v>
      </c>
      <c r="C3" s="185">
        <v>100</v>
      </c>
      <c r="D3" s="185">
        <v>40</v>
      </c>
      <c r="E3" s="184">
        <f>+B3*C3</f>
        <v>10000</v>
      </c>
      <c r="F3" s="184">
        <f>+E3^2/B3</f>
        <v>1000000</v>
      </c>
      <c r="G3" s="184">
        <f>+D3^2*(B3-1)</f>
        <v>158400</v>
      </c>
      <c r="H3" s="184"/>
      <c r="I3" s="184"/>
    </row>
    <row r="4" spans="1:9">
      <c r="A4" s="183" t="s">
        <v>202</v>
      </c>
      <c r="B4" s="185">
        <v>100</v>
      </c>
      <c r="C4" s="185">
        <v>100</v>
      </c>
      <c r="D4" s="185">
        <v>40</v>
      </c>
      <c r="E4" s="184">
        <f>+B4*C4</f>
        <v>10000</v>
      </c>
      <c r="F4" s="184">
        <f>+E4^2/B4</f>
        <v>1000000</v>
      </c>
      <c r="G4" s="184">
        <f>+D4^2*(B4-1)</f>
        <v>158400</v>
      </c>
      <c r="H4" s="184"/>
      <c r="I4" s="184"/>
    </row>
    <row r="5" spans="1:9">
      <c r="A5" s="183" t="s">
        <v>203</v>
      </c>
      <c r="B5" s="186">
        <f>+B3+B4</f>
        <v>200</v>
      </c>
      <c r="C5" s="186">
        <f>+(C3*B3+C4*B4)/(B3+B4)</f>
        <v>100</v>
      </c>
      <c r="D5" s="186">
        <f>SQRT(I5/(B5-2))</f>
        <v>40</v>
      </c>
      <c r="E5" s="184">
        <f>+E3+E4</f>
        <v>20000</v>
      </c>
      <c r="F5" s="184">
        <f>+(F3+F4)-H5</f>
        <v>0</v>
      </c>
      <c r="G5" s="184">
        <f>+G3+G4</f>
        <v>316800</v>
      </c>
      <c r="H5" s="184">
        <f>+E5^2/B5</f>
        <v>2000000</v>
      </c>
      <c r="I5" s="184">
        <f>+F5+G5</f>
        <v>316800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3.5"/>
  <cols>
    <col min="2" max="7" width="12.625" customWidth="1"/>
  </cols>
  <sheetData>
    <row r="1" spans="1:7">
      <c r="A1" t="s">
        <v>204</v>
      </c>
    </row>
    <row r="2" spans="1:7">
      <c r="B2" t="s">
        <v>205</v>
      </c>
      <c r="E2" t="s">
        <v>206</v>
      </c>
    </row>
    <row r="3" spans="1:7">
      <c r="A3" t="s">
        <v>207</v>
      </c>
      <c r="B3" t="s">
        <v>11</v>
      </c>
      <c r="C3" t="s">
        <v>208</v>
      </c>
      <c r="D3" t="s">
        <v>209</v>
      </c>
      <c r="E3" t="s">
        <v>11</v>
      </c>
      <c r="F3" t="s">
        <v>208</v>
      </c>
      <c r="G3" t="s">
        <v>209</v>
      </c>
    </row>
    <row r="4" spans="1:7">
      <c r="A4" t="s">
        <v>210</v>
      </c>
      <c r="B4" s="45">
        <v>128057352</v>
      </c>
      <c r="C4" s="45">
        <v>62327737</v>
      </c>
      <c r="D4" s="45">
        <v>65729615</v>
      </c>
      <c r="E4" s="45">
        <v>125358854</v>
      </c>
      <c r="F4" s="45">
        <v>61027859</v>
      </c>
      <c r="G4" s="45">
        <v>64330995</v>
      </c>
    </row>
    <row r="5" spans="1:7">
      <c r="A5" t="s">
        <v>211</v>
      </c>
      <c r="B5" s="45">
        <v>1045975</v>
      </c>
      <c r="C5" s="45">
        <v>535357</v>
      </c>
      <c r="D5" s="45">
        <v>510618</v>
      </c>
      <c r="E5" s="45">
        <v>1033580</v>
      </c>
      <c r="F5" s="45">
        <v>529061</v>
      </c>
      <c r="G5" s="45">
        <v>504519</v>
      </c>
    </row>
    <row r="6" spans="1:7">
      <c r="A6" t="s">
        <v>212</v>
      </c>
      <c r="B6" s="45">
        <v>1045417</v>
      </c>
      <c r="C6" s="45">
        <v>534800</v>
      </c>
      <c r="D6" s="45">
        <v>510617</v>
      </c>
      <c r="E6" s="45">
        <v>1032856</v>
      </c>
      <c r="F6" s="45">
        <v>528416</v>
      </c>
      <c r="G6" s="45">
        <v>504440</v>
      </c>
    </row>
    <row r="7" spans="1:7">
      <c r="A7" t="s">
        <v>213</v>
      </c>
      <c r="B7" s="45">
        <v>1074194</v>
      </c>
      <c r="C7" s="45">
        <v>549618</v>
      </c>
      <c r="D7" s="45">
        <v>524576</v>
      </c>
      <c r="E7" s="45">
        <v>1061358</v>
      </c>
      <c r="F7" s="45">
        <v>543121</v>
      </c>
      <c r="G7" s="45">
        <v>518237</v>
      </c>
    </row>
    <row r="8" spans="1:7">
      <c r="A8" t="s">
        <v>214</v>
      </c>
      <c r="B8" s="45">
        <v>1069540</v>
      </c>
      <c r="C8" s="45">
        <v>547391</v>
      </c>
      <c r="D8" s="45">
        <v>522149</v>
      </c>
      <c r="E8" s="45">
        <v>1057294</v>
      </c>
      <c r="F8" s="45">
        <v>541118</v>
      </c>
      <c r="G8" s="45">
        <v>516176</v>
      </c>
    </row>
    <row r="9" spans="1:7">
      <c r="A9" t="s">
        <v>215</v>
      </c>
      <c r="B9" s="45">
        <v>1061622</v>
      </c>
      <c r="C9" s="45">
        <v>543415</v>
      </c>
      <c r="D9" s="45">
        <v>518207</v>
      </c>
      <c r="E9" s="45">
        <v>1050216</v>
      </c>
      <c r="F9" s="45">
        <v>537581</v>
      </c>
      <c r="G9" s="45">
        <v>512635</v>
      </c>
    </row>
    <row r="10" spans="1:7">
      <c r="A10" t="s">
        <v>216</v>
      </c>
      <c r="B10" s="45">
        <v>1058489</v>
      </c>
      <c r="C10" s="45">
        <v>541784</v>
      </c>
      <c r="D10" s="45">
        <v>516705</v>
      </c>
      <c r="E10" s="45">
        <v>1047581</v>
      </c>
      <c r="F10" s="45">
        <v>536230</v>
      </c>
      <c r="G10" s="45">
        <v>511351</v>
      </c>
    </row>
    <row r="11" spans="1:7">
      <c r="A11" t="s">
        <v>217</v>
      </c>
      <c r="B11" s="45">
        <v>1098856</v>
      </c>
      <c r="C11" s="45">
        <v>561736</v>
      </c>
      <c r="D11" s="45">
        <v>537120</v>
      </c>
      <c r="E11" s="45">
        <v>1088270</v>
      </c>
      <c r="F11" s="45">
        <v>556302</v>
      </c>
      <c r="G11" s="45">
        <v>531968</v>
      </c>
    </row>
    <row r="12" spans="1:7">
      <c r="A12" t="s">
        <v>218</v>
      </c>
      <c r="B12" s="45">
        <v>1117316</v>
      </c>
      <c r="C12" s="45">
        <v>572664</v>
      </c>
      <c r="D12" s="45">
        <v>544652</v>
      </c>
      <c r="E12" s="45">
        <v>1106667</v>
      </c>
      <c r="F12" s="45">
        <v>567211</v>
      </c>
      <c r="G12" s="45">
        <v>539456</v>
      </c>
    </row>
    <row r="13" spans="1:7">
      <c r="A13" t="s">
        <v>219</v>
      </c>
      <c r="B13" s="45">
        <v>1147733</v>
      </c>
      <c r="C13" s="45">
        <v>587557</v>
      </c>
      <c r="D13" s="45">
        <v>560176</v>
      </c>
      <c r="E13" s="45">
        <v>1137151</v>
      </c>
      <c r="F13" s="45">
        <v>582215</v>
      </c>
      <c r="G13" s="45">
        <v>554936</v>
      </c>
    </row>
    <row r="14" spans="1:7">
      <c r="A14" t="s">
        <v>220</v>
      </c>
      <c r="B14" s="45">
        <v>1163267</v>
      </c>
      <c r="C14" s="45">
        <v>596064</v>
      </c>
      <c r="D14" s="45">
        <v>567203</v>
      </c>
      <c r="E14" s="45">
        <v>1152243</v>
      </c>
      <c r="F14" s="45">
        <v>590348</v>
      </c>
      <c r="G14" s="45">
        <v>561895</v>
      </c>
    </row>
    <row r="15" spans="1:7">
      <c r="A15" t="s">
        <v>221</v>
      </c>
      <c r="B15" s="45">
        <v>1175275</v>
      </c>
      <c r="C15" s="45">
        <v>603214</v>
      </c>
      <c r="D15" s="45">
        <v>572061</v>
      </c>
      <c r="E15" s="45">
        <v>1164101</v>
      </c>
      <c r="F15" s="45">
        <v>597582</v>
      </c>
      <c r="G15" s="45">
        <v>566519</v>
      </c>
    </row>
    <row r="16" spans="1:7">
      <c r="A16" t="s">
        <v>222</v>
      </c>
      <c r="B16" s="45">
        <v>1176598</v>
      </c>
      <c r="C16" s="45">
        <v>602200</v>
      </c>
      <c r="D16" s="45">
        <v>574398</v>
      </c>
      <c r="E16" s="45">
        <v>1165566</v>
      </c>
      <c r="F16" s="45">
        <v>596606</v>
      </c>
      <c r="G16" s="45">
        <v>568960</v>
      </c>
    </row>
    <row r="17" spans="1:7">
      <c r="A17" t="s">
        <v>223</v>
      </c>
      <c r="B17" s="45">
        <v>1195772</v>
      </c>
      <c r="C17" s="45">
        <v>611951</v>
      </c>
      <c r="D17" s="45">
        <v>583821</v>
      </c>
      <c r="E17" s="45">
        <v>1184555</v>
      </c>
      <c r="F17" s="45">
        <v>606261</v>
      </c>
      <c r="G17" s="45">
        <v>578294</v>
      </c>
    </row>
    <row r="18" spans="1:7">
      <c r="A18" t="s">
        <v>224</v>
      </c>
      <c r="B18" s="45">
        <v>1190404</v>
      </c>
      <c r="C18" s="45">
        <v>608621</v>
      </c>
      <c r="D18" s="45">
        <v>581783</v>
      </c>
      <c r="E18" s="45">
        <v>1179213</v>
      </c>
      <c r="F18" s="45">
        <v>602967</v>
      </c>
      <c r="G18" s="45">
        <v>576246</v>
      </c>
    </row>
    <row r="19" spans="1:7">
      <c r="A19" t="s">
        <v>225</v>
      </c>
      <c r="B19" s="45">
        <v>1182986</v>
      </c>
      <c r="C19" s="45">
        <v>605957</v>
      </c>
      <c r="D19" s="45">
        <v>577029</v>
      </c>
      <c r="E19" s="45">
        <v>1171956</v>
      </c>
      <c r="F19" s="45">
        <v>600387</v>
      </c>
      <c r="G19" s="45">
        <v>571569</v>
      </c>
    </row>
    <row r="20" spans="1:7">
      <c r="A20" t="s">
        <v>226</v>
      </c>
      <c r="B20" s="45">
        <v>1218766</v>
      </c>
      <c r="C20" s="45">
        <v>625135</v>
      </c>
      <c r="D20" s="45">
        <v>593631</v>
      </c>
      <c r="E20" s="45">
        <v>1202712</v>
      </c>
      <c r="F20" s="45">
        <v>616731</v>
      </c>
      <c r="G20" s="45">
        <v>585981</v>
      </c>
    </row>
    <row r="21" spans="1:7">
      <c r="A21" t="s">
        <v>227</v>
      </c>
      <c r="B21" s="45">
        <v>1226037</v>
      </c>
      <c r="C21" s="45">
        <v>630044</v>
      </c>
      <c r="D21" s="45">
        <v>595993</v>
      </c>
      <c r="E21" s="45">
        <v>1210484</v>
      </c>
      <c r="F21" s="45">
        <v>621876</v>
      </c>
      <c r="G21" s="45">
        <v>588608</v>
      </c>
    </row>
    <row r="22" spans="1:7">
      <c r="A22" t="s">
        <v>228</v>
      </c>
      <c r="B22" s="45">
        <v>1202514</v>
      </c>
      <c r="C22" s="45">
        <v>617821</v>
      </c>
      <c r="D22" s="45">
        <v>584693</v>
      </c>
      <c r="E22" s="45">
        <v>1186479</v>
      </c>
      <c r="F22" s="45">
        <v>609601</v>
      </c>
      <c r="G22" s="45">
        <v>576878</v>
      </c>
    </row>
    <row r="23" spans="1:7">
      <c r="A23" t="s">
        <v>229</v>
      </c>
      <c r="B23" s="45">
        <v>1215892</v>
      </c>
      <c r="C23" s="45">
        <v>623883</v>
      </c>
      <c r="D23" s="45">
        <v>592009</v>
      </c>
      <c r="E23" s="45">
        <v>1195758</v>
      </c>
      <c r="F23" s="45">
        <v>613695</v>
      </c>
      <c r="G23" s="45">
        <v>582063</v>
      </c>
    </row>
    <row r="24" spans="1:7">
      <c r="A24" t="s">
        <v>230</v>
      </c>
      <c r="B24" s="45">
        <v>1200148</v>
      </c>
      <c r="C24" s="45">
        <v>612346</v>
      </c>
      <c r="D24" s="45">
        <v>587802</v>
      </c>
      <c r="E24" s="45">
        <v>1169969</v>
      </c>
      <c r="F24" s="45">
        <v>597843</v>
      </c>
      <c r="G24" s="45">
        <v>572126</v>
      </c>
    </row>
    <row r="25" spans="1:7">
      <c r="A25" t="s">
        <v>231</v>
      </c>
      <c r="B25" s="45">
        <v>1219150</v>
      </c>
      <c r="C25" s="45">
        <v>620070</v>
      </c>
      <c r="D25" s="45">
        <v>599080</v>
      </c>
      <c r="E25" s="45">
        <v>1176483</v>
      </c>
      <c r="F25" s="45">
        <v>600454</v>
      </c>
      <c r="G25" s="45">
        <v>576029</v>
      </c>
    </row>
    <row r="26" spans="1:7">
      <c r="A26" t="s">
        <v>232</v>
      </c>
      <c r="B26" s="45">
        <v>1249329</v>
      </c>
      <c r="C26" s="45">
        <v>633987</v>
      </c>
      <c r="D26" s="45">
        <v>615342</v>
      </c>
      <c r="E26" s="45">
        <v>1198487</v>
      </c>
      <c r="F26" s="45">
        <v>610706</v>
      </c>
      <c r="G26" s="45">
        <v>587781</v>
      </c>
    </row>
    <row r="27" spans="1:7">
      <c r="A27" t="s">
        <v>233</v>
      </c>
      <c r="B27" s="45">
        <v>1288282</v>
      </c>
      <c r="C27" s="45">
        <v>655100</v>
      </c>
      <c r="D27" s="45">
        <v>633182</v>
      </c>
      <c r="E27" s="45">
        <v>1233591</v>
      </c>
      <c r="F27" s="45">
        <v>628961</v>
      </c>
      <c r="G27" s="45">
        <v>604630</v>
      </c>
    </row>
    <row r="28" spans="1:7">
      <c r="A28" t="s">
        <v>234</v>
      </c>
      <c r="B28" s="45">
        <v>1321513</v>
      </c>
      <c r="C28" s="45">
        <v>671178</v>
      </c>
      <c r="D28" s="45">
        <v>650335</v>
      </c>
      <c r="E28" s="45">
        <v>1264129</v>
      </c>
      <c r="F28" s="45">
        <v>642776</v>
      </c>
      <c r="G28" s="45">
        <v>621353</v>
      </c>
    </row>
    <row r="29" spans="1:7">
      <c r="A29" t="s">
        <v>235</v>
      </c>
      <c r="B29" s="45">
        <v>1348159</v>
      </c>
      <c r="C29" s="45">
        <v>685905</v>
      </c>
      <c r="D29" s="45">
        <v>662254</v>
      </c>
      <c r="E29" s="45">
        <v>1292188</v>
      </c>
      <c r="F29" s="45">
        <v>657469</v>
      </c>
      <c r="G29" s="45">
        <v>634719</v>
      </c>
    </row>
    <row r="30" spans="1:7">
      <c r="A30" t="s">
        <v>236</v>
      </c>
      <c r="B30" s="45">
        <v>1404312</v>
      </c>
      <c r="C30" s="45">
        <v>711906</v>
      </c>
      <c r="D30" s="45">
        <v>692406</v>
      </c>
      <c r="E30" s="45">
        <v>1348966</v>
      </c>
      <c r="F30" s="45">
        <v>684069</v>
      </c>
      <c r="G30" s="45">
        <v>664897</v>
      </c>
    </row>
    <row r="31" spans="1:7">
      <c r="A31" t="s">
        <v>237</v>
      </c>
      <c r="B31" s="45">
        <v>1449555</v>
      </c>
      <c r="C31" s="45">
        <v>734612</v>
      </c>
      <c r="D31" s="45">
        <v>714943</v>
      </c>
      <c r="E31" s="45">
        <v>1394424</v>
      </c>
      <c r="F31" s="45">
        <v>707083</v>
      </c>
      <c r="G31" s="45">
        <v>687341</v>
      </c>
    </row>
    <row r="32" spans="1:7">
      <c r="A32" t="s">
        <v>238</v>
      </c>
      <c r="B32" s="45">
        <v>1469956</v>
      </c>
      <c r="C32" s="45">
        <v>744281</v>
      </c>
      <c r="D32" s="45">
        <v>725675</v>
      </c>
      <c r="E32" s="45">
        <v>1413367</v>
      </c>
      <c r="F32" s="45">
        <v>716678</v>
      </c>
      <c r="G32" s="45">
        <v>696689</v>
      </c>
    </row>
    <row r="33" spans="1:7">
      <c r="A33" t="s">
        <v>239</v>
      </c>
      <c r="B33" s="45">
        <v>1475731</v>
      </c>
      <c r="C33" s="45">
        <v>745319</v>
      </c>
      <c r="D33" s="45">
        <v>730412</v>
      </c>
      <c r="E33" s="45">
        <v>1415462</v>
      </c>
      <c r="F33" s="45">
        <v>716786</v>
      </c>
      <c r="G33" s="45">
        <v>698676</v>
      </c>
    </row>
    <row r="34" spans="1:7">
      <c r="A34" t="s">
        <v>240</v>
      </c>
      <c r="B34" s="45">
        <v>1494147</v>
      </c>
      <c r="C34" s="45">
        <v>755605</v>
      </c>
      <c r="D34" s="45">
        <v>738542</v>
      </c>
      <c r="E34" s="45">
        <v>1439664</v>
      </c>
      <c r="F34" s="45">
        <v>730078</v>
      </c>
      <c r="G34" s="45">
        <v>709586</v>
      </c>
    </row>
    <row r="35" spans="1:7">
      <c r="A35" t="s">
        <v>241</v>
      </c>
      <c r="B35" s="45">
        <v>1561305</v>
      </c>
      <c r="C35" s="45">
        <v>789707</v>
      </c>
      <c r="D35" s="45">
        <v>771598</v>
      </c>
      <c r="E35" s="45">
        <v>1507226</v>
      </c>
      <c r="F35" s="45">
        <v>764572</v>
      </c>
      <c r="G35" s="45">
        <v>742654</v>
      </c>
    </row>
    <row r="36" spans="1:7">
      <c r="A36" t="s">
        <v>242</v>
      </c>
      <c r="B36" s="45">
        <v>1600983</v>
      </c>
      <c r="C36" s="45">
        <v>810617</v>
      </c>
      <c r="D36" s="45">
        <v>790366</v>
      </c>
      <c r="E36" s="45">
        <v>1547804</v>
      </c>
      <c r="F36" s="45">
        <v>786140</v>
      </c>
      <c r="G36" s="45">
        <v>761664</v>
      </c>
    </row>
    <row r="37" spans="1:7">
      <c r="A37" t="s">
        <v>243</v>
      </c>
      <c r="B37" s="45">
        <v>1669936</v>
      </c>
      <c r="C37" s="45">
        <v>844822</v>
      </c>
      <c r="D37" s="45">
        <v>825114</v>
      </c>
      <c r="E37" s="45">
        <v>1619507</v>
      </c>
      <c r="F37" s="45">
        <v>821361</v>
      </c>
      <c r="G37" s="45">
        <v>798146</v>
      </c>
    </row>
    <row r="38" spans="1:7">
      <c r="A38" t="s">
        <v>244</v>
      </c>
      <c r="B38" s="45">
        <v>1712263</v>
      </c>
      <c r="C38" s="45">
        <v>866048</v>
      </c>
      <c r="D38" s="45">
        <v>846215</v>
      </c>
      <c r="E38" s="45">
        <v>1664657</v>
      </c>
      <c r="F38" s="45">
        <v>844032</v>
      </c>
      <c r="G38" s="45">
        <v>820625</v>
      </c>
    </row>
    <row r="39" spans="1:7">
      <c r="A39" t="s">
        <v>245</v>
      </c>
      <c r="B39" s="45">
        <v>1797010</v>
      </c>
      <c r="C39" s="45">
        <v>909817</v>
      </c>
      <c r="D39" s="45">
        <v>887193</v>
      </c>
      <c r="E39" s="45">
        <v>1750366</v>
      </c>
      <c r="F39" s="45">
        <v>888326</v>
      </c>
      <c r="G39" s="45">
        <v>862040</v>
      </c>
    </row>
    <row r="40" spans="1:7">
      <c r="A40" t="s">
        <v>246</v>
      </c>
      <c r="B40" s="45">
        <v>1880293</v>
      </c>
      <c r="C40" s="45">
        <v>952113</v>
      </c>
      <c r="D40" s="45">
        <v>928180</v>
      </c>
      <c r="E40" s="45">
        <v>1833035</v>
      </c>
      <c r="F40" s="45">
        <v>929944</v>
      </c>
      <c r="G40" s="45">
        <v>903091</v>
      </c>
    </row>
    <row r="41" spans="1:7">
      <c r="A41" t="s">
        <v>247</v>
      </c>
      <c r="B41" s="45">
        <v>1981982</v>
      </c>
      <c r="C41" s="45">
        <v>1003334</v>
      </c>
      <c r="D41" s="45">
        <v>978648</v>
      </c>
      <c r="E41" s="45">
        <v>1935179</v>
      </c>
      <c r="F41" s="45">
        <v>982154</v>
      </c>
      <c r="G41" s="45">
        <v>953025</v>
      </c>
    </row>
    <row r="42" spans="1:7">
      <c r="A42" t="s">
        <v>248</v>
      </c>
      <c r="B42" s="45">
        <v>2017073</v>
      </c>
      <c r="C42" s="45">
        <v>1019444</v>
      </c>
      <c r="D42" s="45">
        <v>997629</v>
      </c>
      <c r="E42" s="45">
        <v>1970547</v>
      </c>
      <c r="F42" s="45">
        <v>998119</v>
      </c>
      <c r="G42" s="45">
        <v>972428</v>
      </c>
    </row>
    <row r="43" spans="1:7">
      <c r="A43" t="s">
        <v>249</v>
      </c>
      <c r="B43" s="45">
        <v>1978648</v>
      </c>
      <c r="C43" s="45">
        <v>1001440</v>
      </c>
      <c r="D43" s="45">
        <v>977208</v>
      </c>
      <c r="E43" s="45">
        <v>1933606</v>
      </c>
      <c r="F43" s="45">
        <v>981358</v>
      </c>
      <c r="G43" s="45">
        <v>952248</v>
      </c>
    </row>
    <row r="44" spans="1:7">
      <c r="A44" t="s">
        <v>250</v>
      </c>
      <c r="B44" s="45">
        <v>1928353</v>
      </c>
      <c r="C44" s="45">
        <v>973791</v>
      </c>
      <c r="D44" s="45">
        <v>954562</v>
      </c>
      <c r="E44" s="45">
        <v>1883590</v>
      </c>
      <c r="F44" s="45">
        <v>953919</v>
      </c>
      <c r="G44" s="45">
        <v>929671</v>
      </c>
    </row>
    <row r="45" spans="1:7">
      <c r="A45" t="s">
        <v>251</v>
      </c>
      <c r="B45" s="45">
        <v>1874292</v>
      </c>
      <c r="C45" s="45">
        <v>946353</v>
      </c>
      <c r="D45" s="45">
        <v>927939</v>
      </c>
      <c r="E45" s="45">
        <v>1829180</v>
      </c>
      <c r="F45" s="45">
        <v>926954</v>
      </c>
      <c r="G45" s="45">
        <v>902226</v>
      </c>
    </row>
    <row r="46" spans="1:7">
      <c r="A46" t="s">
        <v>252</v>
      </c>
      <c r="B46" s="45">
        <v>1846761</v>
      </c>
      <c r="C46" s="45">
        <v>929854</v>
      </c>
      <c r="D46" s="45">
        <v>916907</v>
      </c>
      <c r="E46" s="45">
        <v>1802984</v>
      </c>
      <c r="F46" s="45">
        <v>911124</v>
      </c>
      <c r="G46" s="45">
        <v>891860</v>
      </c>
    </row>
    <row r="47" spans="1:7">
      <c r="A47" t="s">
        <v>253</v>
      </c>
      <c r="B47" s="45">
        <v>1807649</v>
      </c>
      <c r="C47" s="45">
        <v>909126</v>
      </c>
      <c r="D47" s="45">
        <v>898523</v>
      </c>
      <c r="E47" s="45">
        <v>1764401</v>
      </c>
      <c r="F47" s="45">
        <v>890835</v>
      </c>
      <c r="G47" s="45">
        <v>873566</v>
      </c>
    </row>
    <row r="48" spans="1:7">
      <c r="A48" t="s">
        <v>254</v>
      </c>
      <c r="B48" s="45">
        <v>1803149</v>
      </c>
      <c r="C48" s="45">
        <v>907805</v>
      </c>
      <c r="D48" s="45">
        <v>895344</v>
      </c>
      <c r="E48" s="45">
        <v>1765209</v>
      </c>
      <c r="F48" s="45">
        <v>890997</v>
      </c>
      <c r="G48" s="45">
        <v>874212</v>
      </c>
    </row>
    <row r="49" spans="1:7">
      <c r="A49" t="s">
        <v>255</v>
      </c>
      <c r="B49" s="45">
        <v>1410014</v>
      </c>
      <c r="C49" s="45">
        <v>707237</v>
      </c>
      <c r="D49" s="45">
        <v>702777</v>
      </c>
      <c r="E49" s="45">
        <v>1375269</v>
      </c>
      <c r="F49" s="45">
        <v>692205</v>
      </c>
      <c r="G49" s="45">
        <v>683064</v>
      </c>
    </row>
    <row r="50" spans="1:7">
      <c r="A50" t="s">
        <v>256</v>
      </c>
      <c r="B50" s="45">
        <v>1744172</v>
      </c>
      <c r="C50" s="45">
        <v>875220</v>
      </c>
      <c r="D50" s="45">
        <v>868952</v>
      </c>
      <c r="E50" s="45">
        <v>1706671</v>
      </c>
      <c r="F50" s="45">
        <v>858837</v>
      </c>
      <c r="G50" s="45">
        <v>847834</v>
      </c>
    </row>
    <row r="51" spans="1:7">
      <c r="A51" t="s">
        <v>257</v>
      </c>
      <c r="B51" s="45">
        <v>1632518</v>
      </c>
      <c r="C51" s="45">
        <v>820099</v>
      </c>
      <c r="D51" s="45">
        <v>812419</v>
      </c>
      <c r="E51" s="45">
        <v>1597554</v>
      </c>
      <c r="F51" s="45">
        <v>804428</v>
      </c>
      <c r="G51" s="45">
        <v>793126</v>
      </c>
    </row>
    <row r="52" spans="1:7">
      <c r="A52" t="s">
        <v>258</v>
      </c>
      <c r="B52" s="45">
        <v>1594519</v>
      </c>
      <c r="C52" s="45">
        <v>799335</v>
      </c>
      <c r="D52" s="45">
        <v>795184</v>
      </c>
      <c r="E52" s="45">
        <v>1560141</v>
      </c>
      <c r="F52" s="45">
        <v>784285</v>
      </c>
      <c r="G52" s="45">
        <v>775856</v>
      </c>
    </row>
    <row r="53" spans="1:7">
      <c r="A53" t="s">
        <v>259</v>
      </c>
      <c r="B53" s="45">
        <v>1542921</v>
      </c>
      <c r="C53" s="45">
        <v>772698</v>
      </c>
      <c r="D53" s="45">
        <v>770223</v>
      </c>
      <c r="E53" s="45">
        <v>1512205</v>
      </c>
      <c r="F53" s="45">
        <v>758724</v>
      </c>
      <c r="G53" s="45">
        <v>753481</v>
      </c>
    </row>
    <row r="54" spans="1:7">
      <c r="A54" t="s">
        <v>260</v>
      </c>
      <c r="B54" s="45">
        <v>1518986</v>
      </c>
      <c r="C54" s="45">
        <v>760617</v>
      </c>
      <c r="D54" s="45">
        <v>758369</v>
      </c>
      <c r="E54" s="45">
        <v>1490614</v>
      </c>
      <c r="F54" s="45">
        <v>747799</v>
      </c>
      <c r="G54" s="45">
        <v>742815</v>
      </c>
    </row>
    <row r="55" spans="1:7">
      <c r="A55" t="s">
        <v>261</v>
      </c>
      <c r="B55" s="45">
        <v>1532059</v>
      </c>
      <c r="C55" s="45">
        <v>765827</v>
      </c>
      <c r="D55" s="45">
        <v>766232</v>
      </c>
      <c r="E55" s="45">
        <v>1503926</v>
      </c>
      <c r="F55" s="45">
        <v>753059</v>
      </c>
      <c r="G55" s="45">
        <v>750867</v>
      </c>
    </row>
    <row r="56" spans="1:7">
      <c r="A56" t="s">
        <v>262</v>
      </c>
      <c r="B56" s="45">
        <v>1559648</v>
      </c>
      <c r="C56" s="45">
        <v>778349</v>
      </c>
      <c r="D56" s="45">
        <v>781299</v>
      </c>
      <c r="E56" s="45">
        <v>1533922</v>
      </c>
      <c r="F56" s="45">
        <v>766639</v>
      </c>
      <c r="G56" s="45">
        <v>767283</v>
      </c>
    </row>
    <row r="57" spans="1:7">
      <c r="A57" t="s">
        <v>263</v>
      </c>
      <c r="B57" s="45">
        <v>1519884</v>
      </c>
      <c r="C57" s="45">
        <v>756737</v>
      </c>
      <c r="D57" s="45">
        <v>763147</v>
      </c>
      <c r="E57" s="45">
        <v>1495568</v>
      </c>
      <c r="F57" s="45">
        <v>745821</v>
      </c>
      <c r="G57" s="45">
        <v>749747</v>
      </c>
    </row>
    <row r="58" spans="1:7">
      <c r="A58" t="s">
        <v>264</v>
      </c>
      <c r="B58" s="45">
        <v>1478697</v>
      </c>
      <c r="C58" s="45">
        <v>735910</v>
      </c>
      <c r="D58" s="45">
        <v>742787</v>
      </c>
      <c r="E58" s="45">
        <v>1455112</v>
      </c>
      <c r="F58" s="45">
        <v>725002</v>
      </c>
      <c r="G58" s="45">
        <v>730110</v>
      </c>
    </row>
    <row r="59" spans="1:7">
      <c r="A59" t="s">
        <v>265</v>
      </c>
      <c r="B59" s="45">
        <v>1554211</v>
      </c>
      <c r="C59" s="45">
        <v>772753</v>
      </c>
      <c r="D59" s="45">
        <v>781458</v>
      </c>
      <c r="E59" s="45">
        <v>1530941</v>
      </c>
      <c r="F59" s="45">
        <v>761750</v>
      </c>
      <c r="G59" s="45">
        <v>769191</v>
      </c>
    </row>
    <row r="60" spans="1:7">
      <c r="A60" t="s">
        <v>266</v>
      </c>
      <c r="B60" s="45">
        <v>1608361</v>
      </c>
      <c r="C60" s="45">
        <v>799902</v>
      </c>
      <c r="D60" s="45">
        <v>808459</v>
      </c>
      <c r="E60" s="45">
        <v>1584661</v>
      </c>
      <c r="F60" s="45">
        <v>788867</v>
      </c>
      <c r="G60" s="45">
        <v>795794</v>
      </c>
    </row>
    <row r="61" spans="1:7">
      <c r="A61" t="s">
        <v>267</v>
      </c>
      <c r="B61" s="45">
        <v>1611287</v>
      </c>
      <c r="C61" s="45">
        <v>800001</v>
      </c>
      <c r="D61" s="45">
        <v>811286</v>
      </c>
      <c r="E61" s="45">
        <v>1588965</v>
      </c>
      <c r="F61" s="45">
        <v>789256</v>
      </c>
      <c r="G61" s="45">
        <v>799709</v>
      </c>
    </row>
    <row r="62" spans="1:7">
      <c r="A62" t="s">
        <v>268</v>
      </c>
      <c r="B62" s="45">
        <v>1713738</v>
      </c>
      <c r="C62" s="45">
        <v>847340</v>
      </c>
      <c r="D62" s="45">
        <v>866398</v>
      </c>
      <c r="E62" s="45">
        <v>1691791</v>
      </c>
      <c r="F62" s="45">
        <v>836802</v>
      </c>
      <c r="G62" s="45">
        <v>854989</v>
      </c>
    </row>
    <row r="63" spans="1:7">
      <c r="A63" t="s">
        <v>269</v>
      </c>
      <c r="B63" s="45">
        <v>1809889</v>
      </c>
      <c r="C63" s="45">
        <v>893276</v>
      </c>
      <c r="D63" s="45">
        <v>916613</v>
      </c>
      <c r="E63" s="45">
        <v>1787720</v>
      </c>
      <c r="F63" s="45">
        <v>882686</v>
      </c>
      <c r="G63" s="45">
        <v>905034</v>
      </c>
    </row>
    <row r="64" spans="1:7">
      <c r="A64" t="s">
        <v>270</v>
      </c>
      <c r="B64" s="45">
        <v>1920459</v>
      </c>
      <c r="C64" s="45">
        <v>946970</v>
      </c>
      <c r="D64" s="45">
        <v>973489</v>
      </c>
      <c r="E64" s="45">
        <v>1899102</v>
      </c>
      <c r="F64" s="45">
        <v>936519</v>
      </c>
      <c r="G64" s="45">
        <v>962583</v>
      </c>
    </row>
    <row r="65" spans="1:7">
      <c r="A65" t="s">
        <v>271</v>
      </c>
      <c r="B65" s="45">
        <v>2066423</v>
      </c>
      <c r="C65" s="45">
        <v>1017505</v>
      </c>
      <c r="D65" s="45">
        <v>1048918</v>
      </c>
      <c r="E65" s="45">
        <v>2045038</v>
      </c>
      <c r="F65" s="45">
        <v>1006964</v>
      </c>
      <c r="G65" s="45">
        <v>1038074</v>
      </c>
    </row>
    <row r="66" spans="1:7">
      <c r="A66" t="s">
        <v>272</v>
      </c>
      <c r="B66" s="45">
        <v>2261917</v>
      </c>
      <c r="C66" s="45">
        <v>1111132</v>
      </c>
      <c r="D66" s="45">
        <v>1150785</v>
      </c>
      <c r="E66" s="45">
        <v>2239538</v>
      </c>
      <c r="F66" s="45">
        <v>1100087</v>
      </c>
      <c r="G66" s="45">
        <v>1139451</v>
      </c>
    </row>
    <row r="67" spans="1:7">
      <c r="A67" t="s">
        <v>273</v>
      </c>
      <c r="B67" s="45">
        <v>2244319</v>
      </c>
      <c r="C67" s="45">
        <v>1099971</v>
      </c>
      <c r="D67" s="45">
        <v>1144348</v>
      </c>
      <c r="E67" s="45">
        <v>2222440</v>
      </c>
      <c r="F67" s="45">
        <v>1089261</v>
      </c>
      <c r="G67" s="45">
        <v>1133179</v>
      </c>
    </row>
    <row r="68" spans="1:7">
      <c r="A68" t="s">
        <v>274</v>
      </c>
      <c r="B68" s="45">
        <v>2132584</v>
      </c>
      <c r="C68" s="45">
        <v>1044270</v>
      </c>
      <c r="D68" s="45">
        <v>1088314</v>
      </c>
      <c r="E68" s="45">
        <v>2112624</v>
      </c>
      <c r="F68" s="45">
        <v>1034232</v>
      </c>
      <c r="G68" s="45">
        <v>1078392</v>
      </c>
    </row>
    <row r="69" spans="1:7">
      <c r="A69" t="s">
        <v>275</v>
      </c>
      <c r="B69" s="45">
        <v>1332006</v>
      </c>
      <c r="C69" s="45">
        <v>647590</v>
      </c>
      <c r="D69" s="45">
        <v>684416</v>
      </c>
      <c r="E69" s="45">
        <v>1316346</v>
      </c>
      <c r="F69" s="45">
        <v>639832</v>
      </c>
      <c r="G69" s="45">
        <v>676514</v>
      </c>
    </row>
    <row r="70" spans="1:7">
      <c r="A70" t="s">
        <v>276</v>
      </c>
      <c r="B70" s="45">
        <v>1426865</v>
      </c>
      <c r="C70" s="45">
        <v>686748</v>
      </c>
      <c r="D70" s="45">
        <v>740117</v>
      </c>
      <c r="E70" s="45">
        <v>1410710</v>
      </c>
      <c r="F70" s="45">
        <v>678884</v>
      </c>
      <c r="G70" s="45">
        <v>731826</v>
      </c>
    </row>
    <row r="71" spans="1:7">
      <c r="A71" t="s">
        <v>277</v>
      </c>
      <c r="B71" s="45">
        <v>1732916</v>
      </c>
      <c r="C71" s="45">
        <v>830331</v>
      </c>
      <c r="D71" s="45">
        <v>902585</v>
      </c>
      <c r="E71" s="45">
        <v>1716645</v>
      </c>
      <c r="F71" s="45">
        <v>822551</v>
      </c>
      <c r="G71" s="45">
        <v>894094</v>
      </c>
    </row>
    <row r="72" spans="1:7">
      <c r="A72" t="s">
        <v>278</v>
      </c>
      <c r="B72" s="45">
        <v>1674435</v>
      </c>
      <c r="C72" s="45">
        <v>800182</v>
      </c>
      <c r="D72" s="45">
        <v>874253</v>
      </c>
      <c r="E72" s="45">
        <v>1658002</v>
      </c>
      <c r="F72" s="45">
        <v>792387</v>
      </c>
      <c r="G72" s="45">
        <v>865615</v>
      </c>
    </row>
    <row r="73" spans="1:7">
      <c r="A73" t="s">
        <v>279</v>
      </c>
      <c r="B73" s="45">
        <v>1714817</v>
      </c>
      <c r="C73" s="45">
        <v>816330</v>
      </c>
      <c r="D73" s="45">
        <v>898487</v>
      </c>
      <c r="E73" s="45">
        <v>1698637</v>
      </c>
      <c r="F73" s="45">
        <v>808507</v>
      </c>
      <c r="G73" s="45">
        <v>890130</v>
      </c>
    </row>
    <row r="74" spans="1:7">
      <c r="A74" t="s">
        <v>280</v>
      </c>
      <c r="B74" s="45">
        <v>1661140</v>
      </c>
      <c r="C74" s="45">
        <v>788183</v>
      </c>
      <c r="D74" s="45">
        <v>872957</v>
      </c>
      <c r="E74" s="45">
        <v>1645598</v>
      </c>
      <c r="F74" s="45">
        <v>780648</v>
      </c>
      <c r="G74" s="45">
        <v>864950</v>
      </c>
    </row>
    <row r="75" spans="1:7">
      <c r="A75" t="s">
        <v>281</v>
      </c>
      <c r="B75" s="45">
        <v>1500984</v>
      </c>
      <c r="C75" s="45">
        <v>707137</v>
      </c>
      <c r="D75" s="45">
        <v>793847</v>
      </c>
      <c r="E75" s="45">
        <v>1487516</v>
      </c>
      <c r="F75" s="45">
        <v>700515</v>
      </c>
      <c r="G75" s="45">
        <v>787001</v>
      </c>
    </row>
    <row r="76" spans="1:7">
      <c r="A76" t="s">
        <v>282</v>
      </c>
      <c r="B76" s="45">
        <v>1298743</v>
      </c>
      <c r="C76" s="45">
        <v>607840</v>
      </c>
      <c r="D76" s="45">
        <v>690903</v>
      </c>
      <c r="E76" s="45">
        <v>1286579</v>
      </c>
      <c r="F76" s="45">
        <v>601883</v>
      </c>
      <c r="G76" s="45">
        <v>684696</v>
      </c>
    </row>
    <row r="77" spans="1:7">
      <c r="A77" t="s">
        <v>283</v>
      </c>
      <c r="B77" s="45">
        <v>1376960</v>
      </c>
      <c r="C77" s="45">
        <v>637594</v>
      </c>
      <c r="D77" s="45">
        <v>739366</v>
      </c>
      <c r="E77" s="45">
        <v>1364276</v>
      </c>
      <c r="F77" s="45">
        <v>631202</v>
      </c>
      <c r="G77" s="45">
        <v>733074</v>
      </c>
    </row>
    <row r="78" spans="1:7">
      <c r="A78" t="s">
        <v>284</v>
      </c>
      <c r="B78" s="45">
        <v>1400129</v>
      </c>
      <c r="C78" s="45">
        <v>642992</v>
      </c>
      <c r="D78" s="45">
        <v>757137</v>
      </c>
      <c r="E78" s="45">
        <v>1387836</v>
      </c>
      <c r="F78" s="45">
        <v>637334</v>
      </c>
      <c r="G78" s="45">
        <v>750502</v>
      </c>
    </row>
    <row r="79" spans="1:7">
      <c r="A79" t="s">
        <v>285</v>
      </c>
      <c r="B79" s="45">
        <v>1386486</v>
      </c>
      <c r="C79" s="45">
        <v>629940</v>
      </c>
      <c r="D79" s="45">
        <v>756546</v>
      </c>
      <c r="E79" s="45">
        <v>1375103</v>
      </c>
      <c r="F79" s="45">
        <v>624866</v>
      </c>
      <c r="G79" s="45">
        <v>750237</v>
      </c>
    </row>
    <row r="80" spans="1:7">
      <c r="A80" t="s">
        <v>286</v>
      </c>
      <c r="B80" s="45">
        <v>1308845</v>
      </c>
      <c r="C80" s="45">
        <v>586255</v>
      </c>
      <c r="D80" s="45">
        <v>722590</v>
      </c>
      <c r="E80" s="45">
        <v>1297737</v>
      </c>
      <c r="F80" s="45">
        <v>581139</v>
      </c>
      <c r="G80" s="45">
        <v>716598</v>
      </c>
    </row>
    <row r="81" spans="1:7">
      <c r="A81" t="s">
        <v>287</v>
      </c>
      <c r="B81" s="45">
        <v>1217357</v>
      </c>
      <c r="C81" s="45">
        <v>537517</v>
      </c>
      <c r="D81" s="45">
        <v>679840</v>
      </c>
      <c r="E81" s="45">
        <v>1208148</v>
      </c>
      <c r="F81" s="45">
        <v>533186</v>
      </c>
      <c r="G81" s="45">
        <v>674962</v>
      </c>
    </row>
    <row r="82" spans="1:7">
      <c r="A82" t="s">
        <v>288</v>
      </c>
      <c r="B82" s="45">
        <v>1197125</v>
      </c>
      <c r="C82" s="45">
        <v>519347</v>
      </c>
      <c r="D82" s="45">
        <v>677778</v>
      </c>
      <c r="E82" s="45">
        <v>1188431</v>
      </c>
      <c r="F82" s="45">
        <v>515480</v>
      </c>
      <c r="G82" s="45">
        <v>672951</v>
      </c>
    </row>
    <row r="83" spans="1:7">
      <c r="A83" t="s">
        <v>289</v>
      </c>
      <c r="B83" s="45">
        <v>1143547</v>
      </c>
      <c r="C83" s="45">
        <v>489295</v>
      </c>
      <c r="D83" s="45">
        <v>654252</v>
      </c>
      <c r="E83" s="45">
        <v>1135432</v>
      </c>
      <c r="F83" s="45">
        <v>485672</v>
      </c>
      <c r="G83" s="45">
        <v>649760</v>
      </c>
    </row>
    <row r="84" spans="1:7">
      <c r="A84" t="s">
        <v>290</v>
      </c>
      <c r="B84" s="45">
        <v>1074139</v>
      </c>
      <c r="C84" s="45">
        <v>450526</v>
      </c>
      <c r="D84" s="45">
        <v>623613</v>
      </c>
      <c r="E84" s="45">
        <v>1067287</v>
      </c>
      <c r="F84" s="45">
        <v>447364</v>
      </c>
      <c r="G84" s="45">
        <v>619923</v>
      </c>
    </row>
    <row r="85" spans="1:7">
      <c r="A85" t="s">
        <v>291</v>
      </c>
      <c r="B85" s="45">
        <v>990275</v>
      </c>
      <c r="C85" s="45">
        <v>406441</v>
      </c>
      <c r="D85" s="45">
        <v>583834</v>
      </c>
      <c r="E85" s="45">
        <v>983766</v>
      </c>
      <c r="F85" s="45">
        <v>403490</v>
      </c>
      <c r="G85" s="45">
        <v>580276</v>
      </c>
    </row>
    <row r="86" spans="1:7">
      <c r="A86" t="s">
        <v>292</v>
      </c>
      <c r="B86" s="45">
        <v>932127</v>
      </c>
      <c r="C86" s="45">
        <v>372484</v>
      </c>
      <c r="D86" s="45">
        <v>559643</v>
      </c>
      <c r="E86" s="45">
        <v>926690</v>
      </c>
      <c r="F86" s="45">
        <v>370336</v>
      </c>
      <c r="G86" s="45">
        <v>556354</v>
      </c>
    </row>
    <row r="87" spans="1:7">
      <c r="A87" t="s">
        <v>293</v>
      </c>
      <c r="B87" s="45">
        <v>868554</v>
      </c>
      <c r="C87" s="45">
        <v>339041</v>
      </c>
      <c r="D87" s="45">
        <v>529513</v>
      </c>
      <c r="E87" s="45">
        <v>864022</v>
      </c>
      <c r="F87" s="45">
        <v>336961</v>
      </c>
      <c r="G87" s="45">
        <v>527061</v>
      </c>
    </row>
    <row r="88" spans="1:7">
      <c r="A88" t="s">
        <v>294</v>
      </c>
      <c r="B88" s="45">
        <v>801946</v>
      </c>
      <c r="C88" s="45">
        <v>304029</v>
      </c>
      <c r="D88" s="45">
        <v>497917</v>
      </c>
      <c r="E88" s="45">
        <v>797061</v>
      </c>
      <c r="F88" s="45">
        <v>302089</v>
      </c>
      <c r="G88" s="45">
        <v>494972</v>
      </c>
    </row>
    <row r="89" spans="1:7">
      <c r="A89" t="s">
        <v>295</v>
      </c>
      <c r="B89" s="45">
        <v>743362</v>
      </c>
      <c r="C89" s="45">
        <v>270589</v>
      </c>
      <c r="D89" s="45">
        <v>472773</v>
      </c>
      <c r="E89" s="45">
        <v>739328</v>
      </c>
      <c r="F89" s="45">
        <v>268970</v>
      </c>
      <c r="G89" s="45">
        <v>470358</v>
      </c>
    </row>
    <row r="90" spans="1:7">
      <c r="A90" t="s">
        <v>296</v>
      </c>
      <c r="B90" s="45">
        <v>648870</v>
      </c>
      <c r="C90" s="45">
        <v>223708</v>
      </c>
      <c r="D90" s="45">
        <v>425162</v>
      </c>
      <c r="E90" s="45">
        <v>646590</v>
      </c>
      <c r="F90" s="45">
        <v>222842</v>
      </c>
      <c r="G90" s="45">
        <v>423748</v>
      </c>
    </row>
    <row r="91" spans="1:7">
      <c r="A91" t="s">
        <v>297</v>
      </c>
      <c r="B91" s="45">
        <v>547394</v>
      </c>
      <c r="C91" s="45">
        <v>177598</v>
      </c>
      <c r="D91" s="45">
        <v>369796</v>
      </c>
      <c r="E91" s="45">
        <v>545462</v>
      </c>
      <c r="F91" s="45">
        <v>176851</v>
      </c>
      <c r="G91" s="45">
        <v>368611</v>
      </c>
    </row>
    <row r="92" spans="1:7">
      <c r="A92" t="s">
        <v>298</v>
      </c>
      <c r="B92" s="45">
        <v>472872</v>
      </c>
      <c r="C92" s="45">
        <v>138353</v>
      </c>
      <c r="D92" s="45">
        <v>334519</v>
      </c>
      <c r="E92" s="45">
        <v>470945</v>
      </c>
      <c r="F92" s="45">
        <v>137654</v>
      </c>
      <c r="G92" s="45">
        <v>333291</v>
      </c>
    </row>
    <row r="93" spans="1:7">
      <c r="A93" t="s">
        <v>299</v>
      </c>
      <c r="B93" s="45">
        <v>411987</v>
      </c>
      <c r="C93" s="45">
        <v>112871</v>
      </c>
      <c r="D93" s="45">
        <v>299116</v>
      </c>
      <c r="E93" s="45">
        <v>410347</v>
      </c>
      <c r="F93" s="45">
        <v>112280</v>
      </c>
      <c r="G93" s="45">
        <v>298067</v>
      </c>
    </row>
    <row r="94" spans="1:7">
      <c r="A94" t="s">
        <v>300</v>
      </c>
      <c r="B94" s="45">
        <v>351465</v>
      </c>
      <c r="C94" s="45">
        <v>91692</v>
      </c>
      <c r="D94" s="45">
        <v>259773</v>
      </c>
      <c r="E94" s="45">
        <v>350233</v>
      </c>
      <c r="F94" s="45">
        <v>91281</v>
      </c>
      <c r="G94" s="45">
        <v>258952</v>
      </c>
    </row>
    <row r="95" spans="1:7">
      <c r="A95" t="s">
        <v>301</v>
      </c>
      <c r="B95" s="45">
        <v>316840</v>
      </c>
      <c r="C95" s="45">
        <v>79600</v>
      </c>
      <c r="D95" s="45">
        <v>237240</v>
      </c>
      <c r="E95" s="45">
        <v>315890</v>
      </c>
      <c r="F95" s="45">
        <v>79270</v>
      </c>
      <c r="G95" s="45">
        <v>236620</v>
      </c>
    </row>
    <row r="96" spans="1:7">
      <c r="A96" t="s">
        <v>302</v>
      </c>
      <c r="B96" s="45">
        <v>219756</v>
      </c>
      <c r="C96" s="45">
        <v>53653</v>
      </c>
      <c r="D96" s="45">
        <v>166103</v>
      </c>
      <c r="E96" s="45">
        <v>219022</v>
      </c>
      <c r="F96" s="45">
        <v>53431</v>
      </c>
      <c r="G96" s="45">
        <v>165591</v>
      </c>
    </row>
    <row r="97" spans="1:7">
      <c r="A97" t="s">
        <v>303</v>
      </c>
      <c r="B97" s="45">
        <v>192863</v>
      </c>
      <c r="C97" s="45">
        <v>44863</v>
      </c>
      <c r="D97" s="45">
        <v>148000</v>
      </c>
      <c r="E97" s="45">
        <v>192308</v>
      </c>
      <c r="F97" s="45">
        <v>44695</v>
      </c>
      <c r="G97" s="45">
        <v>147613</v>
      </c>
    </row>
    <row r="98" spans="1:7">
      <c r="A98" t="s">
        <v>304</v>
      </c>
      <c r="B98" s="45">
        <v>160027</v>
      </c>
      <c r="C98" s="45">
        <v>35831</v>
      </c>
      <c r="D98" s="45">
        <v>124196</v>
      </c>
      <c r="E98" s="45">
        <v>159582</v>
      </c>
      <c r="F98" s="45">
        <v>35720</v>
      </c>
      <c r="G98" s="45">
        <v>123862</v>
      </c>
    </row>
    <row r="99" spans="1:7">
      <c r="A99" t="s">
        <v>305</v>
      </c>
      <c r="B99" s="45">
        <v>132221</v>
      </c>
      <c r="C99" s="45">
        <v>27852</v>
      </c>
      <c r="D99" s="45">
        <v>104369</v>
      </c>
      <c r="E99" s="45">
        <v>131836</v>
      </c>
      <c r="F99" s="45">
        <v>27768</v>
      </c>
      <c r="G99" s="45">
        <v>104068</v>
      </c>
    </row>
    <row r="100" spans="1:7">
      <c r="A100" t="s">
        <v>306</v>
      </c>
      <c r="B100" s="45">
        <v>97626</v>
      </c>
      <c r="C100" s="45">
        <v>19836</v>
      </c>
      <c r="D100" s="45">
        <v>77790</v>
      </c>
      <c r="E100" s="45">
        <v>97376</v>
      </c>
      <c r="F100" s="45">
        <v>19777</v>
      </c>
      <c r="G100" s="45">
        <v>77599</v>
      </c>
    </row>
    <row r="101" spans="1:7">
      <c r="A101" t="s">
        <v>307</v>
      </c>
      <c r="B101" s="45">
        <v>77372</v>
      </c>
      <c r="C101" s="45">
        <v>14982</v>
      </c>
      <c r="D101" s="45">
        <v>62390</v>
      </c>
      <c r="E101" s="45">
        <v>77158</v>
      </c>
      <c r="F101" s="45">
        <v>14931</v>
      </c>
      <c r="G101" s="45">
        <v>62227</v>
      </c>
    </row>
    <row r="102" spans="1:7">
      <c r="A102" t="s">
        <v>308</v>
      </c>
      <c r="B102" s="45">
        <v>55845</v>
      </c>
      <c r="C102" s="45">
        <v>10098</v>
      </c>
      <c r="D102" s="45">
        <v>45747</v>
      </c>
      <c r="E102" s="45">
        <v>55702</v>
      </c>
      <c r="F102" s="45">
        <v>10057</v>
      </c>
      <c r="G102" s="45">
        <v>45645</v>
      </c>
    </row>
    <row r="103" spans="1:7">
      <c r="A103" t="s">
        <v>309</v>
      </c>
      <c r="B103" s="45">
        <v>39826</v>
      </c>
      <c r="C103" s="45">
        <v>6798</v>
      </c>
      <c r="D103" s="45">
        <v>33028</v>
      </c>
      <c r="E103" s="45">
        <v>39725</v>
      </c>
      <c r="F103" s="45">
        <v>6770</v>
      </c>
      <c r="G103" s="45">
        <v>32955</v>
      </c>
    </row>
    <row r="104" spans="1:7">
      <c r="A104" t="s">
        <v>310</v>
      </c>
      <c r="B104" s="45">
        <v>26087</v>
      </c>
      <c r="C104" s="45">
        <v>4025</v>
      </c>
      <c r="D104" s="45">
        <v>22062</v>
      </c>
      <c r="E104" s="45">
        <v>26019</v>
      </c>
      <c r="F104" s="45">
        <v>4011</v>
      </c>
      <c r="G104" s="45">
        <v>22008</v>
      </c>
    </row>
    <row r="105" spans="1:7">
      <c r="A105" t="s">
        <v>311</v>
      </c>
      <c r="B105" s="45">
        <v>17530</v>
      </c>
      <c r="C105" s="45">
        <v>2534</v>
      </c>
      <c r="D105" s="45">
        <v>14996</v>
      </c>
      <c r="E105" s="45">
        <v>17487</v>
      </c>
      <c r="F105" s="45">
        <v>2529</v>
      </c>
      <c r="G105" s="45">
        <v>14958</v>
      </c>
    </row>
    <row r="106" spans="1:7">
      <c r="A106" t="s">
        <v>312</v>
      </c>
      <c r="B106" s="45">
        <v>11094</v>
      </c>
      <c r="C106" s="45">
        <v>1505</v>
      </c>
      <c r="D106" s="45">
        <v>9589</v>
      </c>
      <c r="E106" s="45">
        <v>11061</v>
      </c>
      <c r="F106" s="45">
        <v>1500</v>
      </c>
      <c r="G106" s="45">
        <v>9561</v>
      </c>
    </row>
    <row r="107" spans="1:7">
      <c r="A107" t="s">
        <v>313</v>
      </c>
      <c r="B107" s="45">
        <v>6721</v>
      </c>
      <c r="C107" s="45">
        <v>838</v>
      </c>
      <c r="D107" s="45">
        <v>5883</v>
      </c>
      <c r="E107" s="45">
        <v>6707</v>
      </c>
      <c r="F107" s="45">
        <v>836</v>
      </c>
      <c r="G107" s="45">
        <v>5871</v>
      </c>
    </row>
    <row r="108" spans="1:7">
      <c r="A108" t="s">
        <v>314</v>
      </c>
      <c r="B108" s="45">
        <v>4020</v>
      </c>
      <c r="C108" s="45">
        <v>481</v>
      </c>
      <c r="D108" s="45">
        <v>3539</v>
      </c>
      <c r="E108" s="45">
        <v>4011</v>
      </c>
      <c r="F108" s="45">
        <v>478</v>
      </c>
      <c r="G108" s="45">
        <v>3533</v>
      </c>
    </row>
    <row r="109" spans="1:7">
      <c r="A109" t="s">
        <v>315</v>
      </c>
      <c r="B109" s="45">
        <v>1953</v>
      </c>
      <c r="C109" s="45">
        <v>240</v>
      </c>
      <c r="D109" s="45">
        <v>1713</v>
      </c>
      <c r="E109" s="45">
        <v>1946</v>
      </c>
      <c r="F109" s="45">
        <v>240</v>
      </c>
      <c r="G109" s="45">
        <v>1706</v>
      </c>
    </row>
    <row r="110" spans="1:7">
      <c r="A110" t="s">
        <v>316</v>
      </c>
      <c r="B110" s="45">
        <v>1191</v>
      </c>
      <c r="C110" s="45">
        <v>127</v>
      </c>
      <c r="D110" s="45">
        <v>1064</v>
      </c>
      <c r="E110" s="45">
        <v>1188</v>
      </c>
      <c r="F110" s="45">
        <v>127</v>
      </c>
      <c r="G110" s="45">
        <v>1061</v>
      </c>
    </row>
    <row r="111" spans="1:7">
      <c r="A111" t="s">
        <v>317</v>
      </c>
      <c r="B111" s="45">
        <v>652</v>
      </c>
      <c r="C111" s="45">
        <v>66</v>
      </c>
      <c r="D111" s="45">
        <v>586</v>
      </c>
      <c r="E111" s="45">
        <v>650</v>
      </c>
      <c r="F111" s="45">
        <v>66</v>
      </c>
      <c r="G111" s="45">
        <v>584</v>
      </c>
    </row>
    <row r="112" spans="1:7">
      <c r="A112" t="s">
        <v>318</v>
      </c>
      <c r="B112" s="45">
        <v>359</v>
      </c>
      <c r="C112" s="45">
        <v>38</v>
      </c>
      <c r="D112" s="45">
        <v>321</v>
      </c>
      <c r="E112" s="45">
        <v>357</v>
      </c>
      <c r="F112" s="45">
        <v>37</v>
      </c>
      <c r="G112" s="45">
        <v>320</v>
      </c>
    </row>
    <row r="113" spans="1:7">
      <c r="A113" t="s">
        <v>319</v>
      </c>
      <c r="B113" s="45">
        <v>188</v>
      </c>
      <c r="C113" s="45">
        <v>17</v>
      </c>
      <c r="D113" s="45">
        <v>171</v>
      </c>
      <c r="E113" s="45">
        <v>186</v>
      </c>
      <c r="F113" s="45">
        <v>16</v>
      </c>
      <c r="G113" s="45">
        <v>170</v>
      </c>
    </row>
    <row r="114" spans="1:7">
      <c r="A114" t="s">
        <v>320</v>
      </c>
      <c r="B114" s="45">
        <v>96</v>
      </c>
      <c r="C114" s="45">
        <v>2</v>
      </c>
      <c r="D114" s="45">
        <v>94</v>
      </c>
      <c r="E114" s="45">
        <v>96</v>
      </c>
      <c r="F114" s="45">
        <v>2</v>
      </c>
      <c r="G114" s="45">
        <v>94</v>
      </c>
    </row>
    <row r="115" spans="1:7">
      <c r="A115" t="s">
        <v>321</v>
      </c>
      <c r="B115" s="45">
        <v>78</v>
      </c>
      <c r="C115" s="45">
        <v>3</v>
      </c>
      <c r="D115" s="45">
        <v>75</v>
      </c>
      <c r="E115" s="45">
        <v>78</v>
      </c>
      <c r="F115" s="45">
        <v>3</v>
      </c>
      <c r="G115" s="45">
        <v>75</v>
      </c>
    </row>
    <row r="116" spans="1:7">
      <c r="A116" t="s">
        <v>322</v>
      </c>
      <c r="B116" s="45">
        <v>976423</v>
      </c>
      <c r="C116" s="45">
        <v>570794</v>
      </c>
      <c r="D116" s="45">
        <v>405629</v>
      </c>
      <c r="E116" s="45">
        <v>505879</v>
      </c>
      <c r="F116" s="45">
        <v>318121</v>
      </c>
      <c r="G116" s="45">
        <v>187758</v>
      </c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6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3.5"/>
  <cols>
    <col min="2" max="4" width="12.625" customWidth="1"/>
  </cols>
  <sheetData>
    <row r="1" spans="1:4">
      <c r="A1" t="s">
        <v>52</v>
      </c>
    </row>
    <row r="2" spans="1:4">
      <c r="B2" t="s">
        <v>205</v>
      </c>
    </row>
    <row r="3" spans="1:4">
      <c r="A3" t="s">
        <v>53</v>
      </c>
      <c r="B3" t="s">
        <v>47</v>
      </c>
      <c r="C3" t="s">
        <v>48</v>
      </c>
      <c r="D3" t="s">
        <v>49</v>
      </c>
    </row>
    <row r="4" spans="1:4">
      <c r="A4" t="s">
        <v>47</v>
      </c>
      <c r="B4" s="45">
        <v>127767994</v>
      </c>
      <c r="C4" s="45">
        <v>62348977</v>
      </c>
      <c r="D4" s="45">
        <v>65419017</v>
      </c>
    </row>
    <row r="5" spans="1:4">
      <c r="A5">
        <v>0</v>
      </c>
      <c r="B5" s="45">
        <v>1056800</v>
      </c>
      <c r="C5" s="45">
        <v>539668</v>
      </c>
      <c r="D5" s="45">
        <v>517132</v>
      </c>
    </row>
    <row r="6" spans="1:4">
      <c r="A6">
        <v>1</v>
      </c>
      <c r="B6" s="45">
        <v>1091316</v>
      </c>
      <c r="C6" s="45">
        <v>557804</v>
      </c>
      <c r="D6" s="45">
        <v>533512</v>
      </c>
    </row>
    <row r="7" spans="1:4">
      <c r="A7">
        <v>2</v>
      </c>
      <c r="B7" s="45">
        <v>1115649</v>
      </c>
      <c r="C7" s="45">
        <v>571375</v>
      </c>
      <c r="D7" s="45">
        <v>544274</v>
      </c>
    </row>
    <row r="8" spans="1:4">
      <c r="A8">
        <v>3</v>
      </c>
      <c r="B8" s="45">
        <v>1149450</v>
      </c>
      <c r="C8" s="45">
        <v>588649</v>
      </c>
      <c r="D8" s="45">
        <v>560801</v>
      </c>
    </row>
    <row r="9" spans="1:4">
      <c r="A9">
        <v>4</v>
      </c>
      <c r="B9" s="45">
        <v>1164872</v>
      </c>
      <c r="C9" s="45">
        <v>597006</v>
      </c>
      <c r="D9" s="45">
        <v>567866</v>
      </c>
    </row>
    <row r="10" spans="1:4">
      <c r="A10">
        <v>5</v>
      </c>
      <c r="B10" s="45">
        <v>1182977</v>
      </c>
      <c r="C10" s="45">
        <v>607278</v>
      </c>
      <c r="D10" s="45">
        <v>575699</v>
      </c>
    </row>
    <row r="11" spans="1:4">
      <c r="A11">
        <v>6</v>
      </c>
      <c r="B11" s="45">
        <v>1179736</v>
      </c>
      <c r="C11" s="45">
        <v>604292</v>
      </c>
      <c r="D11" s="45">
        <v>575444</v>
      </c>
    </row>
    <row r="12" spans="1:4">
      <c r="A12">
        <v>7</v>
      </c>
      <c r="B12" s="45">
        <v>1193349</v>
      </c>
      <c r="C12" s="45">
        <v>610904</v>
      </c>
      <c r="D12" s="45">
        <v>582445</v>
      </c>
    </row>
    <row r="13" spans="1:4">
      <c r="A13">
        <v>8</v>
      </c>
      <c r="B13" s="45">
        <v>1188871</v>
      </c>
      <c r="C13" s="45">
        <v>608086</v>
      </c>
      <c r="D13" s="45">
        <v>580785</v>
      </c>
    </row>
    <row r="14" spans="1:4">
      <c r="A14">
        <v>9</v>
      </c>
      <c r="B14" s="45">
        <v>1183562</v>
      </c>
      <c r="C14" s="45">
        <v>605943</v>
      </c>
      <c r="D14" s="45">
        <v>577619</v>
      </c>
    </row>
    <row r="15" spans="1:4">
      <c r="A15">
        <v>10</v>
      </c>
      <c r="B15" s="45">
        <v>1204524</v>
      </c>
      <c r="C15" s="45">
        <v>616199</v>
      </c>
      <c r="D15" s="45">
        <v>588325</v>
      </c>
    </row>
    <row r="16" spans="1:4">
      <c r="A16">
        <v>11</v>
      </c>
      <c r="B16" s="45">
        <v>1205422</v>
      </c>
      <c r="C16" s="45">
        <v>617258</v>
      </c>
      <c r="D16" s="45">
        <v>588164</v>
      </c>
    </row>
    <row r="17" spans="1:4">
      <c r="A17">
        <v>12</v>
      </c>
      <c r="B17" s="45">
        <v>1187516</v>
      </c>
      <c r="C17" s="45">
        <v>608449</v>
      </c>
      <c r="D17" s="45">
        <v>579067</v>
      </c>
    </row>
    <row r="18" spans="1:4">
      <c r="A18">
        <v>13</v>
      </c>
      <c r="B18" s="45">
        <v>1209248</v>
      </c>
      <c r="C18" s="45">
        <v>620052</v>
      </c>
      <c r="D18" s="45">
        <v>589196</v>
      </c>
    </row>
    <row r="19" spans="1:4">
      <c r="A19">
        <v>14</v>
      </c>
      <c r="B19" s="45">
        <v>1207942</v>
      </c>
      <c r="C19" s="45">
        <v>618720</v>
      </c>
      <c r="D19" s="45">
        <v>589222</v>
      </c>
    </row>
    <row r="20" spans="1:4">
      <c r="A20">
        <v>15</v>
      </c>
      <c r="B20" s="45">
        <v>1234174</v>
      </c>
      <c r="C20" s="45">
        <v>632362</v>
      </c>
      <c r="D20" s="45">
        <v>601812</v>
      </c>
    </row>
    <row r="21" spans="1:4">
      <c r="A21">
        <v>16</v>
      </c>
      <c r="B21" s="45">
        <v>1273076</v>
      </c>
      <c r="C21" s="45">
        <v>653268</v>
      </c>
      <c r="D21" s="45">
        <v>619808</v>
      </c>
    </row>
    <row r="22" spans="1:4">
      <c r="A22">
        <v>17</v>
      </c>
      <c r="B22" s="45">
        <v>1313462</v>
      </c>
      <c r="C22" s="45">
        <v>675064</v>
      </c>
      <c r="D22" s="45">
        <v>638398</v>
      </c>
    </row>
    <row r="23" spans="1:4">
      <c r="A23">
        <v>18</v>
      </c>
      <c r="B23" s="45">
        <v>1357096</v>
      </c>
      <c r="C23" s="45">
        <v>696653</v>
      </c>
      <c r="D23" s="45">
        <v>660443</v>
      </c>
    </row>
    <row r="24" spans="1:4">
      <c r="A24">
        <v>19</v>
      </c>
      <c r="B24" s="45">
        <v>1390572</v>
      </c>
      <c r="C24" s="45">
        <v>716083</v>
      </c>
      <c r="D24" s="45">
        <v>674489</v>
      </c>
    </row>
    <row r="25" spans="1:4">
      <c r="A25">
        <v>20</v>
      </c>
      <c r="B25" s="45">
        <v>1442590</v>
      </c>
      <c r="C25" s="45">
        <v>741422</v>
      </c>
      <c r="D25" s="45">
        <v>701168</v>
      </c>
    </row>
    <row r="26" spans="1:4">
      <c r="A26">
        <v>21</v>
      </c>
      <c r="B26" s="45">
        <v>1471327</v>
      </c>
      <c r="C26" s="45">
        <v>753852</v>
      </c>
      <c r="D26" s="45">
        <v>717475</v>
      </c>
    </row>
    <row r="27" spans="1:4">
      <c r="A27">
        <v>22</v>
      </c>
      <c r="B27" s="45">
        <v>1481329</v>
      </c>
      <c r="C27" s="45">
        <v>757026</v>
      </c>
      <c r="D27" s="45">
        <v>724303</v>
      </c>
    </row>
    <row r="28" spans="1:4">
      <c r="A28">
        <v>23</v>
      </c>
      <c r="B28" s="45">
        <v>1469413</v>
      </c>
      <c r="C28" s="45">
        <v>746565</v>
      </c>
      <c r="D28" s="45">
        <v>722848</v>
      </c>
    </row>
    <row r="29" spans="1:4">
      <c r="A29">
        <v>24</v>
      </c>
      <c r="B29" s="45">
        <v>1485939</v>
      </c>
      <c r="C29" s="45">
        <v>755957</v>
      </c>
      <c r="D29" s="45">
        <v>729982</v>
      </c>
    </row>
    <row r="30" spans="1:4">
      <c r="A30">
        <v>25</v>
      </c>
      <c r="B30" s="45">
        <v>1546900</v>
      </c>
      <c r="C30" s="45">
        <v>786273</v>
      </c>
      <c r="D30" s="45">
        <v>760627</v>
      </c>
    </row>
    <row r="31" spans="1:4">
      <c r="A31">
        <v>26</v>
      </c>
      <c r="B31" s="45">
        <v>1588551</v>
      </c>
      <c r="C31" s="45">
        <v>806426</v>
      </c>
      <c r="D31" s="45">
        <v>782125</v>
      </c>
    </row>
    <row r="32" spans="1:4">
      <c r="A32">
        <v>27</v>
      </c>
      <c r="B32" s="45">
        <v>1655017</v>
      </c>
      <c r="C32" s="45">
        <v>838134</v>
      </c>
      <c r="D32" s="45">
        <v>816883</v>
      </c>
    </row>
    <row r="33" spans="1:4">
      <c r="A33">
        <v>28</v>
      </c>
      <c r="B33" s="45">
        <v>1701624</v>
      </c>
      <c r="C33" s="45">
        <v>861964</v>
      </c>
      <c r="D33" s="45">
        <v>839660</v>
      </c>
    </row>
    <row r="34" spans="1:4">
      <c r="A34">
        <v>29</v>
      </c>
      <c r="B34" s="45">
        <v>1787957</v>
      </c>
      <c r="C34" s="45">
        <v>905754</v>
      </c>
      <c r="D34" s="45">
        <v>882203</v>
      </c>
    </row>
    <row r="35" spans="1:4">
      <c r="A35">
        <v>30</v>
      </c>
      <c r="B35" s="45">
        <v>1873576</v>
      </c>
      <c r="C35" s="45">
        <v>949205</v>
      </c>
      <c r="D35" s="45">
        <v>924371</v>
      </c>
    </row>
    <row r="36" spans="1:4">
      <c r="A36">
        <v>31</v>
      </c>
      <c r="B36" s="45">
        <v>1972766</v>
      </c>
      <c r="C36" s="45">
        <v>999283</v>
      </c>
      <c r="D36" s="45">
        <v>973483</v>
      </c>
    </row>
    <row r="37" spans="1:4">
      <c r="A37">
        <v>32</v>
      </c>
      <c r="B37" s="45">
        <v>2009592</v>
      </c>
      <c r="C37" s="45">
        <v>1014512</v>
      </c>
      <c r="D37" s="45">
        <v>995080</v>
      </c>
    </row>
    <row r="38" spans="1:4">
      <c r="A38">
        <v>33</v>
      </c>
      <c r="B38" s="45">
        <v>1971948</v>
      </c>
      <c r="C38" s="45">
        <v>997497</v>
      </c>
      <c r="D38" s="45">
        <v>974451</v>
      </c>
    </row>
    <row r="39" spans="1:4">
      <c r="A39">
        <v>34</v>
      </c>
      <c r="B39" s="45">
        <v>1926975</v>
      </c>
      <c r="C39" s="45">
        <v>972768</v>
      </c>
      <c r="D39" s="45">
        <v>954207</v>
      </c>
    </row>
    <row r="40" spans="1:4">
      <c r="A40">
        <v>35</v>
      </c>
      <c r="B40" s="45">
        <v>1872513</v>
      </c>
      <c r="C40" s="45">
        <v>945606</v>
      </c>
      <c r="D40" s="45">
        <v>926907</v>
      </c>
    </row>
    <row r="41" spans="1:4">
      <c r="A41">
        <v>36</v>
      </c>
      <c r="B41" s="45">
        <v>1841095</v>
      </c>
      <c r="C41" s="45">
        <v>927533</v>
      </c>
      <c r="D41" s="45">
        <v>913562</v>
      </c>
    </row>
    <row r="42" spans="1:4">
      <c r="A42">
        <v>37</v>
      </c>
      <c r="B42" s="45">
        <v>1806426</v>
      </c>
      <c r="C42" s="45">
        <v>910300</v>
      </c>
      <c r="D42" s="45">
        <v>896126</v>
      </c>
    </row>
    <row r="43" spans="1:4">
      <c r="A43">
        <v>38</v>
      </c>
      <c r="B43" s="45">
        <v>1802445</v>
      </c>
      <c r="C43" s="45">
        <v>908866</v>
      </c>
      <c r="D43" s="45">
        <v>893579</v>
      </c>
    </row>
    <row r="44" spans="1:4">
      <c r="A44">
        <v>39</v>
      </c>
      <c r="B44" s="45">
        <v>1413302</v>
      </c>
      <c r="C44" s="45">
        <v>710482</v>
      </c>
      <c r="D44" s="45">
        <v>702820</v>
      </c>
    </row>
    <row r="45" spans="1:4">
      <c r="A45">
        <v>40</v>
      </c>
      <c r="B45" s="45">
        <v>1753784</v>
      </c>
      <c r="C45" s="45">
        <v>882923</v>
      </c>
      <c r="D45" s="45">
        <v>870861</v>
      </c>
    </row>
    <row r="46" spans="1:4">
      <c r="A46">
        <v>41</v>
      </c>
      <c r="B46" s="45">
        <v>1643281</v>
      </c>
      <c r="C46" s="45">
        <v>827731</v>
      </c>
      <c r="D46" s="45">
        <v>815550</v>
      </c>
    </row>
    <row r="47" spans="1:4">
      <c r="A47">
        <v>42</v>
      </c>
      <c r="B47" s="45">
        <v>1601907</v>
      </c>
      <c r="C47" s="45">
        <v>805966</v>
      </c>
      <c r="D47" s="45">
        <v>795941</v>
      </c>
    </row>
    <row r="48" spans="1:4">
      <c r="A48">
        <v>43</v>
      </c>
      <c r="B48" s="45">
        <v>1550197</v>
      </c>
      <c r="C48" s="45">
        <v>779029</v>
      </c>
      <c r="D48" s="45">
        <v>771168</v>
      </c>
    </row>
    <row r="49" spans="1:4">
      <c r="A49">
        <v>44</v>
      </c>
      <c r="B49" s="45">
        <v>1531427</v>
      </c>
      <c r="C49" s="45">
        <v>769821</v>
      </c>
      <c r="D49" s="45">
        <v>761606</v>
      </c>
    </row>
    <row r="50" spans="1:4">
      <c r="A50">
        <v>45</v>
      </c>
      <c r="B50" s="45">
        <v>1544533</v>
      </c>
      <c r="C50" s="45">
        <v>774589</v>
      </c>
      <c r="D50" s="45">
        <v>769944</v>
      </c>
    </row>
    <row r="51" spans="1:4">
      <c r="A51">
        <v>46</v>
      </c>
      <c r="B51" s="45">
        <v>1576252</v>
      </c>
      <c r="C51" s="45">
        <v>790161</v>
      </c>
      <c r="D51" s="45">
        <v>786091</v>
      </c>
    </row>
    <row r="52" spans="1:4">
      <c r="A52">
        <v>47</v>
      </c>
      <c r="B52" s="45">
        <v>1534063</v>
      </c>
      <c r="C52" s="45">
        <v>766938</v>
      </c>
      <c r="D52" s="45">
        <v>767125</v>
      </c>
    </row>
    <row r="53" spans="1:4">
      <c r="A53">
        <v>48</v>
      </c>
      <c r="B53" s="45">
        <v>1495792</v>
      </c>
      <c r="C53" s="45">
        <v>748341</v>
      </c>
      <c r="D53" s="45">
        <v>747451</v>
      </c>
    </row>
    <row r="54" spans="1:4">
      <c r="A54">
        <v>49</v>
      </c>
      <c r="B54" s="45">
        <v>1575221</v>
      </c>
      <c r="C54" s="45">
        <v>787471</v>
      </c>
      <c r="D54" s="45">
        <v>787750</v>
      </c>
    </row>
    <row r="55" spans="1:4">
      <c r="A55">
        <v>50</v>
      </c>
      <c r="B55" s="45">
        <v>1631381</v>
      </c>
      <c r="C55" s="45">
        <v>816353</v>
      </c>
      <c r="D55" s="45">
        <v>815028</v>
      </c>
    </row>
    <row r="56" spans="1:4">
      <c r="A56">
        <v>51</v>
      </c>
      <c r="B56" s="45">
        <v>1633864</v>
      </c>
      <c r="C56" s="45">
        <v>816299</v>
      </c>
      <c r="D56" s="45">
        <v>817565</v>
      </c>
    </row>
    <row r="57" spans="1:4">
      <c r="A57">
        <v>52</v>
      </c>
      <c r="B57" s="45">
        <v>1739785</v>
      </c>
      <c r="C57" s="45">
        <v>865997</v>
      </c>
      <c r="D57" s="45">
        <v>873788</v>
      </c>
    </row>
    <row r="58" spans="1:4">
      <c r="A58">
        <v>53</v>
      </c>
      <c r="B58" s="45">
        <v>1838150</v>
      </c>
      <c r="C58" s="45">
        <v>913501</v>
      </c>
      <c r="D58" s="45">
        <v>924649</v>
      </c>
    </row>
    <row r="59" spans="1:4">
      <c r="A59">
        <v>54</v>
      </c>
      <c r="B59" s="45">
        <v>1953319</v>
      </c>
      <c r="C59" s="45">
        <v>971090</v>
      </c>
      <c r="D59" s="45">
        <v>982229</v>
      </c>
    </row>
    <row r="60" spans="1:4">
      <c r="A60">
        <v>55</v>
      </c>
      <c r="B60" s="45">
        <v>2104329</v>
      </c>
      <c r="C60" s="45">
        <v>1043747</v>
      </c>
      <c r="D60" s="45">
        <v>1060582</v>
      </c>
    </row>
    <row r="61" spans="1:4">
      <c r="A61">
        <v>56</v>
      </c>
      <c r="B61" s="45">
        <v>2309454</v>
      </c>
      <c r="C61" s="45">
        <v>1145025</v>
      </c>
      <c r="D61" s="45">
        <v>1164429</v>
      </c>
    </row>
    <row r="62" spans="1:4">
      <c r="A62">
        <v>57</v>
      </c>
      <c r="B62" s="45">
        <v>2293251</v>
      </c>
      <c r="C62" s="45">
        <v>1135716</v>
      </c>
      <c r="D62" s="45">
        <v>1157535</v>
      </c>
    </row>
    <row r="63" spans="1:4">
      <c r="A63">
        <v>58</v>
      </c>
      <c r="B63" s="45">
        <v>2180630</v>
      </c>
      <c r="C63" s="45">
        <v>1079446</v>
      </c>
      <c r="D63" s="45">
        <v>1101184</v>
      </c>
    </row>
    <row r="64" spans="1:4">
      <c r="A64">
        <v>59</v>
      </c>
      <c r="B64" s="45">
        <v>1367500</v>
      </c>
      <c r="C64" s="45">
        <v>673435</v>
      </c>
      <c r="D64" s="45">
        <v>694065</v>
      </c>
    </row>
    <row r="65" spans="1:4">
      <c r="A65">
        <v>60</v>
      </c>
      <c r="B65" s="45">
        <v>1470910</v>
      </c>
      <c r="C65" s="45">
        <v>718324</v>
      </c>
      <c r="D65" s="45">
        <v>752586</v>
      </c>
    </row>
    <row r="66" spans="1:4">
      <c r="A66">
        <v>61</v>
      </c>
      <c r="B66" s="45">
        <v>1795818</v>
      </c>
      <c r="C66" s="45">
        <v>874355</v>
      </c>
      <c r="D66" s="45">
        <v>921463</v>
      </c>
    </row>
    <row r="67" spans="1:4">
      <c r="A67">
        <v>62</v>
      </c>
      <c r="B67" s="45">
        <v>1745049</v>
      </c>
      <c r="C67" s="45">
        <v>849367</v>
      </c>
      <c r="D67" s="45">
        <v>895682</v>
      </c>
    </row>
    <row r="68" spans="1:4">
      <c r="A68">
        <v>63</v>
      </c>
      <c r="B68" s="45">
        <v>1791638</v>
      </c>
      <c r="C68" s="45">
        <v>869302</v>
      </c>
      <c r="D68" s="45">
        <v>922336</v>
      </c>
    </row>
    <row r="69" spans="1:4">
      <c r="A69">
        <v>64</v>
      </c>
      <c r="B69" s="45">
        <v>1741214</v>
      </c>
      <c r="C69" s="45">
        <v>843181</v>
      </c>
      <c r="D69" s="45">
        <v>898033</v>
      </c>
    </row>
    <row r="70" spans="1:4">
      <c r="A70">
        <v>65</v>
      </c>
      <c r="B70" s="45">
        <v>1584111</v>
      </c>
      <c r="C70" s="45">
        <v>763350</v>
      </c>
      <c r="D70" s="45">
        <v>820761</v>
      </c>
    </row>
    <row r="71" spans="1:4">
      <c r="A71">
        <v>66</v>
      </c>
      <c r="B71" s="45">
        <v>1376543</v>
      </c>
      <c r="C71" s="45">
        <v>660974</v>
      </c>
      <c r="D71" s="45">
        <v>715569</v>
      </c>
    </row>
    <row r="72" spans="1:4">
      <c r="A72">
        <v>67</v>
      </c>
      <c r="B72" s="45">
        <v>1467269</v>
      </c>
      <c r="C72" s="45">
        <v>698526</v>
      </c>
      <c r="D72" s="45">
        <v>768743</v>
      </c>
    </row>
    <row r="73" spans="1:4">
      <c r="A73">
        <v>68</v>
      </c>
      <c r="B73" s="45">
        <v>1504053</v>
      </c>
      <c r="C73" s="45">
        <v>714359</v>
      </c>
      <c r="D73" s="45">
        <v>789694</v>
      </c>
    </row>
    <row r="74" spans="1:4">
      <c r="A74">
        <v>69</v>
      </c>
      <c r="B74" s="45">
        <v>1500634</v>
      </c>
      <c r="C74" s="45">
        <v>707797</v>
      </c>
      <c r="D74" s="45">
        <v>792837</v>
      </c>
    </row>
    <row r="75" spans="1:4">
      <c r="A75">
        <v>70</v>
      </c>
      <c r="B75" s="45">
        <v>1430012</v>
      </c>
      <c r="C75" s="45">
        <v>667385</v>
      </c>
      <c r="D75" s="45">
        <v>762627</v>
      </c>
    </row>
    <row r="76" spans="1:4">
      <c r="A76">
        <v>71</v>
      </c>
      <c r="B76" s="45">
        <v>1344544</v>
      </c>
      <c r="C76" s="45">
        <v>621368</v>
      </c>
      <c r="D76" s="45">
        <v>723176</v>
      </c>
    </row>
    <row r="77" spans="1:4">
      <c r="A77">
        <v>72</v>
      </c>
      <c r="B77" s="45">
        <v>1336071</v>
      </c>
      <c r="C77" s="45">
        <v>611177</v>
      </c>
      <c r="D77" s="45">
        <v>724894</v>
      </c>
    </row>
    <row r="78" spans="1:4">
      <c r="A78">
        <v>73</v>
      </c>
      <c r="B78" s="45">
        <v>1291896</v>
      </c>
      <c r="C78" s="45">
        <v>586033</v>
      </c>
      <c r="D78" s="45">
        <v>705863</v>
      </c>
    </row>
    <row r="79" spans="1:4">
      <c r="A79">
        <v>74</v>
      </c>
      <c r="B79" s="45">
        <v>1234974</v>
      </c>
      <c r="C79" s="45">
        <v>553780</v>
      </c>
      <c r="D79" s="45">
        <v>681194</v>
      </c>
    </row>
    <row r="80" spans="1:4">
      <c r="A80">
        <v>75</v>
      </c>
      <c r="B80" s="45">
        <v>1156731</v>
      </c>
      <c r="C80" s="45">
        <v>511696</v>
      </c>
      <c r="D80" s="45">
        <v>645035</v>
      </c>
    </row>
    <row r="81" spans="1:4">
      <c r="A81">
        <v>76</v>
      </c>
      <c r="B81" s="45">
        <v>1110735</v>
      </c>
      <c r="C81" s="45">
        <v>484419</v>
      </c>
      <c r="D81" s="45">
        <v>626316</v>
      </c>
    </row>
    <row r="82" spans="1:4">
      <c r="A82">
        <v>77</v>
      </c>
      <c r="B82" s="45">
        <v>1054370</v>
      </c>
      <c r="C82" s="45">
        <v>453050</v>
      </c>
      <c r="D82" s="45">
        <v>601320</v>
      </c>
    </row>
    <row r="83" spans="1:4">
      <c r="A83">
        <v>78</v>
      </c>
      <c r="B83" s="45">
        <v>993095</v>
      </c>
      <c r="C83" s="45">
        <v>418680</v>
      </c>
      <c r="D83" s="45">
        <v>574415</v>
      </c>
    </row>
    <row r="84" spans="1:4">
      <c r="A84">
        <v>79</v>
      </c>
      <c r="B84" s="45">
        <v>947870</v>
      </c>
      <c r="C84" s="45">
        <v>388472</v>
      </c>
      <c r="D84" s="45">
        <v>559398</v>
      </c>
    </row>
    <row r="85" spans="1:4">
      <c r="A85">
        <v>80</v>
      </c>
      <c r="B85" s="45">
        <v>859044</v>
      </c>
      <c r="C85" s="45">
        <v>339083</v>
      </c>
      <c r="D85" s="45">
        <v>519961</v>
      </c>
    </row>
    <row r="86" spans="1:4">
      <c r="A86">
        <v>81</v>
      </c>
      <c r="B86" s="45">
        <v>747664</v>
      </c>
      <c r="C86" s="45">
        <v>281960</v>
      </c>
      <c r="D86" s="45">
        <v>465704</v>
      </c>
    </row>
    <row r="87" spans="1:4">
      <c r="A87">
        <v>82</v>
      </c>
      <c r="B87" s="45">
        <v>668066</v>
      </c>
      <c r="C87" s="45">
        <v>231663</v>
      </c>
      <c r="D87" s="45">
        <v>436403</v>
      </c>
    </row>
    <row r="88" spans="1:4">
      <c r="A88">
        <v>83</v>
      </c>
      <c r="B88" s="45">
        <v>602291</v>
      </c>
      <c r="C88" s="45">
        <v>198904</v>
      </c>
      <c r="D88" s="45">
        <v>403387</v>
      </c>
    </row>
    <row r="89" spans="1:4">
      <c r="A89">
        <v>84</v>
      </c>
      <c r="B89" s="45">
        <v>535328</v>
      </c>
      <c r="C89" s="45">
        <v>171025</v>
      </c>
      <c r="D89" s="45">
        <v>364303</v>
      </c>
    </row>
    <row r="90" spans="1:4">
      <c r="A90">
        <v>85</v>
      </c>
      <c r="B90" s="45">
        <v>514834</v>
      </c>
      <c r="C90" s="45">
        <v>160746</v>
      </c>
      <c r="D90" s="45">
        <v>354088</v>
      </c>
    </row>
    <row r="91" spans="1:4">
      <c r="A91">
        <v>86</v>
      </c>
      <c r="B91" s="45">
        <v>380019</v>
      </c>
      <c r="C91" s="45">
        <v>117340</v>
      </c>
      <c r="D91" s="45">
        <v>262679</v>
      </c>
    </row>
    <row r="92" spans="1:4">
      <c r="A92">
        <v>87</v>
      </c>
      <c r="B92" s="45">
        <v>354614</v>
      </c>
      <c r="C92" s="45">
        <v>105891</v>
      </c>
      <c r="D92" s="45">
        <v>248723</v>
      </c>
    </row>
    <row r="93" spans="1:4">
      <c r="A93">
        <v>88</v>
      </c>
      <c r="B93" s="45">
        <v>317236</v>
      </c>
      <c r="C93" s="45">
        <v>92264</v>
      </c>
      <c r="D93" s="45">
        <v>224972</v>
      </c>
    </row>
    <row r="94" spans="1:4">
      <c r="A94">
        <v>89</v>
      </c>
      <c r="B94" s="45">
        <v>282557</v>
      </c>
      <c r="C94" s="45">
        <v>78885</v>
      </c>
      <c r="D94" s="45">
        <v>203672</v>
      </c>
    </row>
    <row r="95" spans="1:4">
      <c r="A95">
        <v>90</v>
      </c>
      <c r="B95" s="45">
        <v>238830</v>
      </c>
      <c r="C95" s="45">
        <v>64379</v>
      </c>
      <c r="D95" s="45">
        <v>174451</v>
      </c>
    </row>
    <row r="96" spans="1:4">
      <c r="A96">
        <v>91</v>
      </c>
      <c r="B96" s="45">
        <v>205486</v>
      </c>
      <c r="C96" s="45">
        <v>53130</v>
      </c>
      <c r="D96" s="45">
        <v>152356</v>
      </c>
    </row>
    <row r="97" spans="1:4">
      <c r="A97">
        <v>92</v>
      </c>
      <c r="B97" s="45">
        <v>165193</v>
      </c>
      <c r="C97" s="45">
        <v>40492</v>
      </c>
      <c r="D97" s="45">
        <v>124701</v>
      </c>
    </row>
    <row r="98" spans="1:4">
      <c r="A98">
        <v>93</v>
      </c>
      <c r="B98" s="45">
        <v>131771</v>
      </c>
      <c r="C98" s="45">
        <v>30756</v>
      </c>
      <c r="D98" s="45">
        <v>101015</v>
      </c>
    </row>
    <row r="99" spans="1:4">
      <c r="A99">
        <v>94</v>
      </c>
      <c r="B99" s="45">
        <v>99590</v>
      </c>
      <c r="C99" s="45">
        <v>21829</v>
      </c>
      <c r="D99" s="45">
        <v>77761</v>
      </c>
    </row>
    <row r="100" spans="1:4">
      <c r="A100">
        <v>95</v>
      </c>
      <c r="B100" s="45">
        <v>75580</v>
      </c>
      <c r="C100" s="45">
        <v>15942</v>
      </c>
      <c r="D100" s="45">
        <v>59638</v>
      </c>
    </row>
    <row r="101" spans="1:4">
      <c r="A101">
        <v>96</v>
      </c>
      <c r="B101" s="45">
        <v>54915</v>
      </c>
      <c r="C101" s="45">
        <v>10778</v>
      </c>
      <c r="D101" s="45">
        <v>44137</v>
      </c>
    </row>
    <row r="102" spans="1:4">
      <c r="A102">
        <v>97</v>
      </c>
      <c r="B102" s="45">
        <v>38156</v>
      </c>
      <c r="C102" s="45">
        <v>7232</v>
      </c>
      <c r="D102" s="45">
        <v>30924</v>
      </c>
    </row>
    <row r="103" spans="1:4">
      <c r="A103">
        <v>98</v>
      </c>
      <c r="B103" s="45">
        <v>26778</v>
      </c>
      <c r="C103" s="45">
        <v>4757</v>
      </c>
      <c r="D103" s="45">
        <v>22021</v>
      </c>
    </row>
    <row r="104" spans="1:4">
      <c r="A104">
        <v>99</v>
      </c>
      <c r="B104" s="45">
        <v>15792</v>
      </c>
      <c r="C104" s="45">
        <v>2717</v>
      </c>
      <c r="D104" s="45">
        <v>13075</v>
      </c>
    </row>
    <row r="105" spans="1:4">
      <c r="A105" t="s">
        <v>50</v>
      </c>
      <c r="B105" s="45">
        <v>25353</v>
      </c>
      <c r="C105" s="45">
        <v>3760</v>
      </c>
      <c r="D105" s="45">
        <v>21593</v>
      </c>
    </row>
    <row r="106" spans="1:4">
      <c r="A106" t="s">
        <v>51</v>
      </c>
      <c r="B106" s="45">
        <v>482341</v>
      </c>
      <c r="C106" s="45">
        <v>291732</v>
      </c>
      <c r="D106" s="45">
        <v>190609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107"/>
  <sheetViews>
    <sheetView workbookViewId="0">
      <selection activeCell="D53" sqref="D53"/>
    </sheetView>
  </sheetViews>
  <sheetFormatPr defaultRowHeight="13.5"/>
  <cols>
    <col min="2" max="4" width="12.625" customWidth="1"/>
  </cols>
  <sheetData>
    <row r="2" spans="1:4">
      <c r="A2" t="s">
        <v>55</v>
      </c>
    </row>
    <row r="4" spans="1:4">
      <c r="A4" t="s">
        <v>53</v>
      </c>
      <c r="B4" t="s">
        <v>47</v>
      </c>
      <c r="C4" t="s">
        <v>48</v>
      </c>
      <c r="D4" t="s">
        <v>49</v>
      </c>
    </row>
    <row r="5" spans="1:4">
      <c r="A5" t="s">
        <v>47</v>
      </c>
      <c r="B5" s="46">
        <v>127619000</v>
      </c>
      <c r="C5" s="46">
        <v>62304000</v>
      </c>
      <c r="D5" s="46">
        <v>65315000</v>
      </c>
    </row>
    <row r="6" spans="1:4">
      <c r="A6">
        <v>0</v>
      </c>
      <c r="B6" s="46">
        <v>1131000</v>
      </c>
      <c r="C6" s="46">
        <v>581000</v>
      </c>
      <c r="D6" s="46">
        <v>550000</v>
      </c>
    </row>
    <row r="7" spans="1:4">
      <c r="A7">
        <v>1</v>
      </c>
      <c r="B7" s="46">
        <v>1161000</v>
      </c>
      <c r="C7" s="46">
        <v>596000</v>
      </c>
      <c r="D7" s="46">
        <v>565000</v>
      </c>
    </row>
    <row r="8" spans="1:4">
      <c r="A8">
        <v>2</v>
      </c>
      <c r="B8" s="46">
        <v>1170000</v>
      </c>
      <c r="C8" s="46">
        <v>601000</v>
      </c>
      <c r="D8" s="46">
        <v>569000</v>
      </c>
    </row>
    <row r="9" spans="1:4">
      <c r="A9">
        <v>3</v>
      </c>
      <c r="B9" s="46">
        <v>1167000</v>
      </c>
      <c r="C9" s="46">
        <v>599000</v>
      </c>
      <c r="D9" s="46">
        <v>569000</v>
      </c>
    </row>
    <row r="10" spans="1:4">
      <c r="A10">
        <v>4</v>
      </c>
      <c r="B10" s="46">
        <v>1171000</v>
      </c>
      <c r="C10" s="46">
        <v>600000</v>
      </c>
      <c r="D10" s="46">
        <v>571000</v>
      </c>
    </row>
    <row r="11" spans="1:4">
      <c r="A11">
        <v>5</v>
      </c>
      <c r="B11" s="46">
        <v>1197000</v>
      </c>
      <c r="C11" s="46">
        <v>613000</v>
      </c>
      <c r="D11" s="46">
        <v>584000</v>
      </c>
    </row>
    <row r="12" spans="1:4">
      <c r="A12">
        <v>6</v>
      </c>
      <c r="B12" s="46">
        <v>1190000</v>
      </c>
      <c r="C12" s="46">
        <v>609000</v>
      </c>
      <c r="D12" s="46">
        <v>581000</v>
      </c>
    </row>
    <row r="13" spans="1:4">
      <c r="A13">
        <v>7</v>
      </c>
      <c r="B13" s="46">
        <v>1185000</v>
      </c>
      <c r="C13" s="46">
        <v>607000</v>
      </c>
      <c r="D13" s="46">
        <v>578000</v>
      </c>
    </row>
    <row r="14" spans="1:4">
      <c r="A14">
        <v>8</v>
      </c>
      <c r="B14" s="46">
        <v>1205000</v>
      </c>
      <c r="C14" s="46">
        <v>616000</v>
      </c>
      <c r="D14" s="46">
        <v>588000</v>
      </c>
    </row>
    <row r="15" spans="1:4">
      <c r="A15">
        <v>9</v>
      </c>
      <c r="B15" s="46">
        <v>1209000</v>
      </c>
      <c r="C15" s="46">
        <v>619000</v>
      </c>
      <c r="D15" s="46">
        <v>590000</v>
      </c>
    </row>
    <row r="16" spans="1:4">
      <c r="A16">
        <v>10</v>
      </c>
      <c r="B16" s="46">
        <v>1191000</v>
      </c>
      <c r="C16" s="46">
        <v>610000</v>
      </c>
      <c r="D16" s="46">
        <v>580000</v>
      </c>
    </row>
    <row r="17" spans="1:4">
      <c r="A17">
        <v>11</v>
      </c>
      <c r="B17" s="46">
        <v>1212000</v>
      </c>
      <c r="C17" s="46">
        <v>622000</v>
      </c>
      <c r="D17" s="46">
        <v>590000</v>
      </c>
    </row>
    <row r="18" spans="1:4">
      <c r="A18">
        <v>12</v>
      </c>
      <c r="B18" s="46">
        <v>1212000</v>
      </c>
      <c r="C18" s="46">
        <v>621000</v>
      </c>
      <c r="D18" s="46">
        <v>591000</v>
      </c>
    </row>
    <row r="19" spans="1:4">
      <c r="A19">
        <v>13</v>
      </c>
      <c r="B19" s="46">
        <v>1241000</v>
      </c>
      <c r="C19" s="46">
        <v>635000</v>
      </c>
      <c r="D19" s="46">
        <v>606000</v>
      </c>
    </row>
    <row r="20" spans="1:4">
      <c r="A20">
        <v>14</v>
      </c>
      <c r="B20" s="46">
        <v>1264000</v>
      </c>
      <c r="C20" s="46">
        <v>647000</v>
      </c>
      <c r="D20" s="46">
        <v>617000</v>
      </c>
    </row>
    <row r="21" spans="1:4">
      <c r="A21">
        <v>15</v>
      </c>
      <c r="B21" s="46">
        <v>1317000</v>
      </c>
      <c r="C21" s="46">
        <v>676000</v>
      </c>
      <c r="D21" s="46">
        <v>641000</v>
      </c>
    </row>
    <row r="22" spans="1:4">
      <c r="A22">
        <v>16</v>
      </c>
      <c r="B22" s="46">
        <v>1352000</v>
      </c>
      <c r="C22" s="46">
        <v>693000</v>
      </c>
      <c r="D22" s="46">
        <v>659000</v>
      </c>
    </row>
    <row r="23" spans="1:4">
      <c r="A23">
        <v>17</v>
      </c>
      <c r="B23" s="46">
        <v>1378000</v>
      </c>
      <c r="C23" s="46">
        <v>709000</v>
      </c>
      <c r="D23" s="46">
        <v>670000</v>
      </c>
    </row>
    <row r="24" spans="1:4">
      <c r="A24">
        <v>18</v>
      </c>
      <c r="B24" s="46">
        <v>1444000</v>
      </c>
      <c r="C24" s="46">
        <v>740000</v>
      </c>
      <c r="D24" s="46">
        <v>704000</v>
      </c>
    </row>
    <row r="25" spans="1:4">
      <c r="A25">
        <v>19</v>
      </c>
      <c r="B25" s="46">
        <v>1506000</v>
      </c>
      <c r="C25" s="46">
        <v>771000</v>
      </c>
      <c r="D25" s="46">
        <v>735000</v>
      </c>
    </row>
    <row r="26" spans="1:4">
      <c r="A26">
        <v>20</v>
      </c>
      <c r="B26" s="46">
        <v>1528000</v>
      </c>
      <c r="C26" s="46">
        <v>781000</v>
      </c>
      <c r="D26" s="46">
        <v>747000</v>
      </c>
    </row>
    <row r="27" spans="1:4">
      <c r="A27">
        <v>21</v>
      </c>
      <c r="B27" s="46">
        <v>1524000</v>
      </c>
      <c r="C27" s="46">
        <v>779000</v>
      </c>
      <c r="D27" s="46">
        <v>745000</v>
      </c>
    </row>
    <row r="28" spans="1:4">
      <c r="A28">
        <v>22</v>
      </c>
      <c r="B28" s="46">
        <v>1544000</v>
      </c>
      <c r="C28" s="46">
        <v>790000</v>
      </c>
      <c r="D28" s="46">
        <v>754000</v>
      </c>
    </row>
    <row r="29" spans="1:4">
      <c r="A29">
        <v>23</v>
      </c>
      <c r="B29" s="46">
        <v>1618000</v>
      </c>
      <c r="C29" s="46">
        <v>831000</v>
      </c>
      <c r="D29" s="46">
        <v>787000</v>
      </c>
    </row>
    <row r="30" spans="1:4">
      <c r="A30">
        <v>24</v>
      </c>
      <c r="B30" s="46">
        <v>1645000</v>
      </c>
      <c r="C30" s="46">
        <v>843000</v>
      </c>
      <c r="D30" s="46">
        <v>802000</v>
      </c>
    </row>
    <row r="31" spans="1:4">
      <c r="A31">
        <v>25</v>
      </c>
      <c r="B31" s="46">
        <v>1696000</v>
      </c>
      <c r="C31" s="46">
        <v>867000</v>
      </c>
      <c r="D31" s="46">
        <v>829000</v>
      </c>
    </row>
    <row r="32" spans="1:4">
      <c r="A32">
        <v>26</v>
      </c>
      <c r="B32" s="46">
        <v>1725000</v>
      </c>
      <c r="C32" s="46">
        <v>879000</v>
      </c>
      <c r="D32" s="46">
        <v>846000</v>
      </c>
    </row>
    <row r="33" spans="1:4">
      <c r="A33">
        <v>27</v>
      </c>
      <c r="B33" s="46">
        <v>1809000</v>
      </c>
      <c r="C33" s="46">
        <v>919000</v>
      </c>
      <c r="D33" s="46">
        <v>890000</v>
      </c>
    </row>
    <row r="34" spans="1:4">
      <c r="A34">
        <v>28</v>
      </c>
      <c r="B34" s="46">
        <v>1889000</v>
      </c>
      <c r="C34" s="46">
        <v>957000</v>
      </c>
      <c r="D34" s="46">
        <v>931000</v>
      </c>
    </row>
    <row r="35" spans="1:4">
      <c r="A35">
        <v>29</v>
      </c>
      <c r="B35" s="46">
        <v>1987000</v>
      </c>
      <c r="C35" s="46">
        <v>1007000</v>
      </c>
      <c r="D35" s="46">
        <v>980000</v>
      </c>
    </row>
    <row r="36" spans="1:4">
      <c r="A36">
        <v>30</v>
      </c>
      <c r="B36" s="46">
        <v>2025000</v>
      </c>
      <c r="C36" s="46">
        <v>1022000</v>
      </c>
      <c r="D36" s="46">
        <v>1003000</v>
      </c>
    </row>
    <row r="37" spans="1:4">
      <c r="A37">
        <v>31</v>
      </c>
      <c r="B37" s="46">
        <v>1988000</v>
      </c>
      <c r="C37" s="46">
        <v>1005000</v>
      </c>
      <c r="D37" s="46">
        <v>983000</v>
      </c>
    </row>
    <row r="38" spans="1:4">
      <c r="A38">
        <v>32</v>
      </c>
      <c r="B38" s="46">
        <v>1940000</v>
      </c>
      <c r="C38" s="46">
        <v>979000</v>
      </c>
      <c r="D38" s="46">
        <v>961000</v>
      </c>
    </row>
    <row r="39" spans="1:4">
      <c r="A39">
        <v>33</v>
      </c>
      <c r="B39" s="46">
        <v>1892000</v>
      </c>
      <c r="C39" s="46">
        <v>956000</v>
      </c>
      <c r="D39" s="46">
        <v>936000</v>
      </c>
    </row>
    <row r="40" spans="1:4">
      <c r="A40">
        <v>34</v>
      </c>
      <c r="B40" s="46">
        <v>1855000</v>
      </c>
      <c r="C40" s="46">
        <v>935000</v>
      </c>
      <c r="D40" s="46">
        <v>921000</v>
      </c>
    </row>
    <row r="41" spans="1:4">
      <c r="A41">
        <v>35</v>
      </c>
      <c r="B41" s="46">
        <v>1819000</v>
      </c>
      <c r="C41" s="46">
        <v>916000</v>
      </c>
      <c r="D41" s="46">
        <v>903000</v>
      </c>
    </row>
    <row r="42" spans="1:4">
      <c r="A42">
        <v>36</v>
      </c>
      <c r="B42" s="46">
        <v>1819000</v>
      </c>
      <c r="C42" s="46">
        <v>916000</v>
      </c>
      <c r="D42" s="46">
        <v>902000</v>
      </c>
    </row>
    <row r="43" spans="1:4">
      <c r="A43">
        <v>37</v>
      </c>
      <c r="B43" s="46">
        <v>1418000</v>
      </c>
      <c r="C43" s="46">
        <v>713000</v>
      </c>
      <c r="D43" s="46">
        <v>705000</v>
      </c>
    </row>
    <row r="44" spans="1:4">
      <c r="A44">
        <v>38</v>
      </c>
      <c r="B44" s="46">
        <v>1763000</v>
      </c>
      <c r="C44" s="46">
        <v>888000</v>
      </c>
      <c r="D44" s="46">
        <v>875000</v>
      </c>
    </row>
    <row r="45" spans="1:4">
      <c r="A45">
        <v>39</v>
      </c>
      <c r="B45" s="46">
        <v>1649000</v>
      </c>
      <c r="C45" s="46">
        <v>831000</v>
      </c>
      <c r="D45" s="46">
        <v>818000</v>
      </c>
    </row>
    <row r="46" spans="1:4">
      <c r="A46">
        <v>40</v>
      </c>
      <c r="B46" s="46">
        <v>1613000</v>
      </c>
      <c r="C46" s="46">
        <v>812000</v>
      </c>
      <c r="D46" s="46">
        <v>801000</v>
      </c>
    </row>
    <row r="47" spans="1:4">
      <c r="A47">
        <v>41</v>
      </c>
      <c r="B47" s="46">
        <v>1562000</v>
      </c>
      <c r="C47" s="46">
        <v>785000</v>
      </c>
      <c r="D47" s="46">
        <v>776000</v>
      </c>
    </row>
    <row r="48" spans="1:4">
      <c r="A48">
        <v>42</v>
      </c>
      <c r="B48" s="46">
        <v>1540000</v>
      </c>
      <c r="C48" s="46">
        <v>775000</v>
      </c>
      <c r="D48" s="46">
        <v>765000</v>
      </c>
    </row>
    <row r="49" spans="1:4">
      <c r="A49">
        <v>43</v>
      </c>
      <c r="B49" s="46">
        <v>1556000</v>
      </c>
      <c r="C49" s="46">
        <v>782000</v>
      </c>
      <c r="D49" s="46">
        <v>774000</v>
      </c>
    </row>
    <row r="50" spans="1:4">
      <c r="A50">
        <v>44</v>
      </c>
      <c r="B50" s="46">
        <v>1587000</v>
      </c>
      <c r="C50" s="46">
        <v>797000</v>
      </c>
      <c r="D50" s="46">
        <v>790000</v>
      </c>
    </row>
    <row r="51" spans="1:4">
      <c r="A51">
        <v>45</v>
      </c>
      <c r="B51" s="46">
        <v>1547000</v>
      </c>
      <c r="C51" s="46">
        <v>776000</v>
      </c>
      <c r="D51" s="46">
        <v>771000</v>
      </c>
    </row>
    <row r="52" spans="1:4">
      <c r="A52">
        <v>46</v>
      </c>
      <c r="B52" s="46">
        <v>1507000</v>
      </c>
      <c r="C52" s="46">
        <v>757000</v>
      </c>
      <c r="D52" s="46">
        <v>751000</v>
      </c>
    </row>
    <row r="53" spans="1:4">
      <c r="A53">
        <v>47</v>
      </c>
      <c r="B53" s="46">
        <v>1587000</v>
      </c>
      <c r="C53" s="46">
        <v>796000</v>
      </c>
      <c r="D53" s="46">
        <v>791000</v>
      </c>
    </row>
    <row r="54" spans="1:4">
      <c r="A54">
        <v>48</v>
      </c>
      <c r="B54" s="46">
        <v>1643000</v>
      </c>
      <c r="C54" s="46">
        <v>824000</v>
      </c>
      <c r="D54" s="46">
        <v>819000</v>
      </c>
    </row>
    <row r="55" spans="1:4">
      <c r="A55">
        <v>49</v>
      </c>
      <c r="B55" s="46">
        <v>1645000</v>
      </c>
      <c r="C55" s="46">
        <v>824000</v>
      </c>
      <c r="D55" s="46">
        <v>821000</v>
      </c>
    </row>
    <row r="56" spans="1:4">
      <c r="A56">
        <v>50</v>
      </c>
      <c r="B56" s="46">
        <v>1753000</v>
      </c>
      <c r="C56" s="46">
        <v>875000</v>
      </c>
      <c r="D56" s="46">
        <v>878000</v>
      </c>
    </row>
    <row r="57" spans="1:4">
      <c r="A57">
        <v>51</v>
      </c>
      <c r="B57" s="46">
        <v>1851000</v>
      </c>
      <c r="C57" s="46">
        <v>923000</v>
      </c>
      <c r="D57" s="46">
        <v>929000</v>
      </c>
    </row>
    <row r="58" spans="1:4">
      <c r="A58">
        <v>52</v>
      </c>
      <c r="B58" s="46">
        <v>1966000</v>
      </c>
      <c r="C58" s="46">
        <v>981000</v>
      </c>
      <c r="D58" s="46">
        <v>985000</v>
      </c>
    </row>
    <row r="59" spans="1:4">
      <c r="A59">
        <v>53</v>
      </c>
      <c r="B59" s="46">
        <v>2119000</v>
      </c>
      <c r="C59" s="46">
        <v>1055000</v>
      </c>
      <c r="D59" s="46">
        <v>1065000</v>
      </c>
    </row>
    <row r="60" spans="1:4">
      <c r="A60">
        <v>54</v>
      </c>
      <c r="B60" s="46">
        <v>2324000</v>
      </c>
      <c r="C60" s="46">
        <v>1155000</v>
      </c>
      <c r="D60" s="46">
        <v>1169000</v>
      </c>
    </row>
    <row r="61" spans="1:4">
      <c r="A61">
        <v>55</v>
      </c>
      <c r="B61" s="46">
        <v>2310000</v>
      </c>
      <c r="C61" s="46">
        <v>1147000</v>
      </c>
      <c r="D61" s="46">
        <v>1163000</v>
      </c>
    </row>
    <row r="62" spans="1:4">
      <c r="A62">
        <v>56</v>
      </c>
      <c r="B62" s="46">
        <v>2197000</v>
      </c>
      <c r="C62" s="46">
        <v>1091000</v>
      </c>
      <c r="D62" s="46">
        <v>1106000</v>
      </c>
    </row>
    <row r="63" spans="1:4">
      <c r="A63">
        <v>57</v>
      </c>
      <c r="B63" s="46">
        <v>1378000</v>
      </c>
      <c r="C63" s="46">
        <v>680000</v>
      </c>
      <c r="D63" s="46">
        <v>698000</v>
      </c>
    </row>
    <row r="64" spans="1:4">
      <c r="A64">
        <v>58</v>
      </c>
      <c r="B64" s="46">
        <v>1481000</v>
      </c>
      <c r="C64" s="46">
        <v>725000</v>
      </c>
      <c r="D64" s="46">
        <v>756000</v>
      </c>
    </row>
    <row r="65" spans="1:4">
      <c r="A65">
        <v>59</v>
      </c>
      <c r="B65" s="46">
        <v>1805000</v>
      </c>
      <c r="C65" s="46">
        <v>881000</v>
      </c>
      <c r="D65" s="46">
        <v>924000</v>
      </c>
    </row>
    <row r="66" spans="1:4">
      <c r="A66">
        <v>60</v>
      </c>
      <c r="B66" s="46">
        <v>1752000</v>
      </c>
      <c r="C66" s="46">
        <v>853000</v>
      </c>
      <c r="D66" s="46">
        <v>898000</v>
      </c>
    </row>
    <row r="67" spans="1:4">
      <c r="A67">
        <v>61</v>
      </c>
      <c r="B67" s="46">
        <v>1803000</v>
      </c>
      <c r="C67" s="46">
        <v>878000</v>
      </c>
      <c r="D67" s="46">
        <v>925000</v>
      </c>
    </row>
    <row r="68" spans="1:4">
      <c r="A68">
        <v>62</v>
      </c>
      <c r="B68" s="46">
        <v>1753000</v>
      </c>
      <c r="C68" s="46">
        <v>851000</v>
      </c>
      <c r="D68" s="46">
        <v>902000</v>
      </c>
    </row>
    <row r="69" spans="1:4">
      <c r="A69">
        <v>63</v>
      </c>
      <c r="B69" s="46">
        <v>1601000</v>
      </c>
      <c r="C69" s="46">
        <v>774000</v>
      </c>
      <c r="D69" s="46">
        <v>827000</v>
      </c>
    </row>
    <row r="70" spans="1:4">
      <c r="A70">
        <v>64</v>
      </c>
      <c r="B70" s="46">
        <v>1395000</v>
      </c>
      <c r="C70" s="46">
        <v>672000</v>
      </c>
      <c r="D70" s="46">
        <v>723000</v>
      </c>
    </row>
    <row r="71" spans="1:4">
      <c r="A71">
        <v>65</v>
      </c>
      <c r="B71" s="46">
        <v>1491000</v>
      </c>
      <c r="C71" s="46">
        <v>714000</v>
      </c>
      <c r="D71" s="46">
        <v>778000</v>
      </c>
    </row>
    <row r="72" spans="1:4">
      <c r="A72">
        <v>66</v>
      </c>
      <c r="B72" s="46">
        <v>1538000</v>
      </c>
      <c r="C72" s="46">
        <v>734000</v>
      </c>
      <c r="D72" s="46">
        <v>804000</v>
      </c>
    </row>
    <row r="73" spans="1:4">
      <c r="A73">
        <v>67</v>
      </c>
      <c r="B73" s="46">
        <v>1532000</v>
      </c>
      <c r="C73" s="46">
        <v>728000</v>
      </c>
      <c r="D73" s="46">
        <v>804000</v>
      </c>
    </row>
    <row r="74" spans="1:4">
      <c r="A74">
        <v>68</v>
      </c>
      <c r="B74" s="46">
        <v>1464000</v>
      </c>
      <c r="C74" s="46">
        <v>690000</v>
      </c>
      <c r="D74" s="46">
        <v>774000</v>
      </c>
    </row>
    <row r="75" spans="1:4">
      <c r="A75">
        <v>69</v>
      </c>
      <c r="B75" s="46">
        <v>1379000</v>
      </c>
      <c r="C75" s="46">
        <v>645000</v>
      </c>
      <c r="D75" s="46">
        <v>734000</v>
      </c>
    </row>
    <row r="76" spans="1:4">
      <c r="A76">
        <v>70</v>
      </c>
      <c r="B76" s="46">
        <v>1375000</v>
      </c>
      <c r="C76" s="46">
        <v>637000</v>
      </c>
      <c r="D76" s="46">
        <v>739000</v>
      </c>
    </row>
    <row r="77" spans="1:4">
      <c r="A77">
        <v>71</v>
      </c>
      <c r="B77" s="46">
        <v>1333000</v>
      </c>
      <c r="C77" s="46">
        <v>614000</v>
      </c>
      <c r="D77" s="46">
        <v>719000</v>
      </c>
    </row>
    <row r="78" spans="1:4">
      <c r="A78">
        <v>72</v>
      </c>
      <c r="B78" s="46">
        <v>1282000</v>
      </c>
      <c r="C78" s="46">
        <v>584000</v>
      </c>
      <c r="D78" s="46">
        <v>697000</v>
      </c>
    </row>
    <row r="79" spans="1:4">
      <c r="A79">
        <v>73</v>
      </c>
      <c r="B79" s="46">
        <v>1208000</v>
      </c>
      <c r="C79" s="46">
        <v>546000</v>
      </c>
      <c r="D79" s="46">
        <v>662000</v>
      </c>
    </row>
    <row r="80" spans="1:4">
      <c r="A80">
        <v>74</v>
      </c>
      <c r="B80" s="46">
        <v>1160000</v>
      </c>
      <c r="C80" s="46">
        <v>517000</v>
      </c>
      <c r="D80" s="46">
        <v>643000</v>
      </c>
    </row>
    <row r="81" spans="1:4">
      <c r="A81">
        <v>75</v>
      </c>
      <c r="B81" s="46">
        <v>1107000</v>
      </c>
      <c r="C81" s="46">
        <v>487000</v>
      </c>
      <c r="D81" s="46">
        <v>620000</v>
      </c>
    </row>
    <row r="82" spans="1:4">
      <c r="A82">
        <v>76</v>
      </c>
      <c r="B82" s="46">
        <v>1050000</v>
      </c>
      <c r="C82" s="46">
        <v>455000</v>
      </c>
      <c r="D82" s="46">
        <v>595000</v>
      </c>
    </row>
    <row r="83" spans="1:4">
      <c r="A83">
        <v>77</v>
      </c>
      <c r="B83" s="46">
        <v>1007000</v>
      </c>
      <c r="C83" s="46">
        <v>425000</v>
      </c>
      <c r="D83" s="46">
        <v>581000</v>
      </c>
    </row>
    <row r="84" spans="1:4">
      <c r="A84">
        <v>78</v>
      </c>
      <c r="B84" s="46">
        <v>922000</v>
      </c>
      <c r="C84" s="46">
        <v>377000</v>
      </c>
      <c r="D84" s="46">
        <v>545000</v>
      </c>
    </row>
    <row r="85" spans="1:4">
      <c r="A85">
        <v>79</v>
      </c>
      <c r="B85" s="46">
        <v>811000</v>
      </c>
      <c r="C85" s="46">
        <v>318000</v>
      </c>
      <c r="D85" s="46">
        <v>493000</v>
      </c>
    </row>
    <row r="86" spans="1:4">
      <c r="A86">
        <v>80</v>
      </c>
      <c r="B86" s="46">
        <v>735000</v>
      </c>
      <c r="C86" s="46">
        <v>266000</v>
      </c>
      <c r="D86" s="46">
        <v>469000</v>
      </c>
    </row>
    <row r="87" spans="1:4">
      <c r="A87">
        <v>81</v>
      </c>
      <c r="B87" s="46">
        <v>664000</v>
      </c>
      <c r="C87" s="46">
        <v>230000</v>
      </c>
      <c r="D87" s="46">
        <v>434000</v>
      </c>
    </row>
    <row r="88" spans="1:4">
      <c r="A88">
        <v>82</v>
      </c>
      <c r="B88" s="46">
        <v>598000</v>
      </c>
      <c r="C88" s="46">
        <v>202000</v>
      </c>
      <c r="D88" s="46">
        <v>396000</v>
      </c>
    </row>
    <row r="89" spans="1:4">
      <c r="A89">
        <v>83</v>
      </c>
      <c r="B89" s="46">
        <v>586000</v>
      </c>
      <c r="C89" s="46">
        <v>196000</v>
      </c>
      <c r="D89" s="46">
        <v>390000</v>
      </c>
    </row>
    <row r="90" spans="1:4">
      <c r="A90">
        <v>84</v>
      </c>
      <c r="B90" s="46">
        <v>438000</v>
      </c>
      <c r="C90" s="46">
        <v>145000</v>
      </c>
      <c r="D90" s="46">
        <v>293000</v>
      </c>
    </row>
    <row r="91" spans="1:4">
      <c r="A91">
        <v>85</v>
      </c>
      <c r="B91" s="46">
        <v>415000</v>
      </c>
      <c r="C91" s="46">
        <v>134000</v>
      </c>
      <c r="D91" s="46">
        <v>281000</v>
      </c>
    </row>
    <row r="92" spans="1:4">
      <c r="A92">
        <v>86</v>
      </c>
      <c r="B92" s="46">
        <v>378000</v>
      </c>
      <c r="C92" s="46">
        <v>119000</v>
      </c>
      <c r="D92" s="46">
        <v>259000</v>
      </c>
    </row>
    <row r="93" spans="1:4">
      <c r="A93">
        <v>87</v>
      </c>
      <c r="B93" s="46">
        <v>344000</v>
      </c>
      <c r="C93" s="46">
        <v>105000</v>
      </c>
      <c r="D93" s="46">
        <v>239000</v>
      </c>
    </row>
    <row r="94" spans="1:4">
      <c r="A94">
        <v>88</v>
      </c>
      <c r="B94" s="46">
        <v>298000</v>
      </c>
      <c r="C94" s="46">
        <v>89000</v>
      </c>
      <c r="D94" s="46">
        <v>209000</v>
      </c>
    </row>
    <row r="95" spans="1:4">
      <c r="A95">
        <v>89</v>
      </c>
      <c r="B95" s="46">
        <v>264000</v>
      </c>
      <c r="C95" s="46">
        <v>75000</v>
      </c>
      <c r="D95" s="46">
        <v>188000</v>
      </c>
    </row>
    <row r="96" spans="1:4">
      <c r="A96" s="45" t="s">
        <v>54</v>
      </c>
      <c r="B96" s="46">
        <v>931000</v>
      </c>
      <c r="C96" s="46">
        <v>227000</v>
      </c>
      <c r="D96" s="46">
        <v>704000</v>
      </c>
    </row>
    <row r="97" spans="2:4">
      <c r="B97" s="46"/>
      <c r="C97" s="46"/>
      <c r="D97" s="46"/>
    </row>
    <row r="98" spans="2:4">
      <c r="B98" s="46"/>
      <c r="C98" s="46"/>
      <c r="D98" s="46"/>
    </row>
    <row r="99" spans="2:4">
      <c r="B99" s="46"/>
      <c r="C99" s="46"/>
      <c r="D99" s="46"/>
    </row>
    <row r="100" spans="2:4">
      <c r="B100" s="46"/>
      <c r="C100" s="46"/>
      <c r="D100" s="46"/>
    </row>
    <row r="101" spans="2:4">
      <c r="B101" s="46"/>
      <c r="C101" s="46"/>
      <c r="D101" s="46"/>
    </row>
    <row r="102" spans="2:4">
      <c r="B102" s="46"/>
      <c r="C102" s="46"/>
      <c r="D102" s="46"/>
    </row>
    <row r="103" spans="2:4">
      <c r="B103" s="46"/>
      <c r="C103" s="46"/>
      <c r="D103" s="46"/>
    </row>
    <row r="104" spans="2:4">
      <c r="B104" s="46"/>
      <c r="C104" s="46"/>
      <c r="D104" s="46"/>
    </row>
    <row r="105" spans="2:4">
      <c r="B105" s="46"/>
      <c r="C105" s="46"/>
      <c r="D105" s="46"/>
    </row>
    <row r="106" spans="2:4">
      <c r="B106" s="46"/>
      <c r="C106" s="46"/>
      <c r="D106" s="46"/>
    </row>
    <row r="107" spans="2:4">
      <c r="B107" s="46"/>
      <c r="C107" s="46"/>
      <c r="D107" s="46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workbookViewId="0"/>
  </sheetViews>
  <sheetFormatPr defaultRowHeight="13.5"/>
  <cols>
    <col min="1" max="1" width="22.25" customWidth="1"/>
    <col min="2" max="2" width="9.125" bestFit="1" customWidth="1"/>
    <col min="3" max="3" width="9.875" bestFit="1" customWidth="1"/>
    <col min="4" max="4" width="12.625" customWidth="1"/>
    <col min="5" max="5" width="7.625" customWidth="1"/>
    <col min="6" max="6" width="9.125" bestFit="1" customWidth="1"/>
    <col min="7" max="7" width="9.375" bestFit="1" customWidth="1"/>
    <col min="8" max="8" width="12.625" customWidth="1"/>
    <col min="9" max="9" width="7.625" customWidth="1"/>
    <col min="10" max="11" width="9.125" bestFit="1" customWidth="1"/>
    <col min="12" max="12" width="12.625" customWidth="1"/>
    <col min="13" max="13" width="7.625" customWidth="1"/>
  </cols>
  <sheetData>
    <row r="1" spans="1:14" ht="21.95" customHeight="1">
      <c r="A1" s="131" t="s">
        <v>120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ht="26.25" customHeight="1" thickBot="1">
      <c r="A2" s="63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1.95" customHeight="1" thickBot="1">
      <c r="A3" s="64" t="s">
        <v>83</v>
      </c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/>
      <c r="N3" s="65"/>
    </row>
    <row r="4" spans="1:14" ht="21.95" customHeight="1">
      <c r="A4" s="66" t="s">
        <v>84</v>
      </c>
      <c r="B4" s="269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1"/>
      <c r="N4" s="65"/>
    </row>
    <row r="5" spans="1:14" ht="21.95" customHeight="1">
      <c r="A5" s="67" t="s">
        <v>85</v>
      </c>
      <c r="B5" s="272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65"/>
    </row>
    <row r="6" spans="1:14" ht="21.95" customHeight="1" thickBot="1">
      <c r="A6" s="68" t="s">
        <v>86</v>
      </c>
      <c r="B6" s="275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  <c r="N6" s="65"/>
    </row>
    <row r="7" spans="1:14" ht="31.5" customHeight="1">
      <c r="A7" s="66" t="s">
        <v>87</v>
      </c>
      <c r="B7" s="269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1"/>
      <c r="N7" s="65"/>
    </row>
    <row r="8" spans="1:14" ht="32.25" customHeight="1" thickBot="1">
      <c r="A8" s="68" t="s">
        <v>88</v>
      </c>
      <c r="B8" s="275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7"/>
      <c r="N8" s="65"/>
    </row>
    <row r="9" spans="1:14" ht="21.95" customHeight="1">
      <c r="A9" s="69"/>
      <c r="B9" s="70" t="s">
        <v>5</v>
      </c>
      <c r="C9" s="71"/>
      <c r="D9" s="71"/>
      <c r="E9" s="71"/>
      <c r="F9" s="70" t="s">
        <v>43</v>
      </c>
      <c r="G9" s="71"/>
      <c r="H9" s="71"/>
      <c r="I9" s="71"/>
      <c r="J9" s="70" t="s">
        <v>11</v>
      </c>
      <c r="K9" s="71"/>
      <c r="L9" s="71"/>
      <c r="M9" s="72"/>
      <c r="N9" s="1"/>
    </row>
    <row r="10" spans="1:14" ht="21.95" customHeight="1">
      <c r="A10" s="73"/>
      <c r="B10" s="74" t="s">
        <v>0</v>
      </c>
      <c r="C10" s="75" t="s">
        <v>1</v>
      </c>
      <c r="D10" s="76" t="s">
        <v>68</v>
      </c>
      <c r="E10" s="77" t="s">
        <v>60</v>
      </c>
      <c r="F10" s="78" t="s">
        <v>0</v>
      </c>
      <c r="G10" s="76" t="s">
        <v>1</v>
      </c>
      <c r="H10" s="76" t="s">
        <v>68</v>
      </c>
      <c r="I10" s="77" t="s">
        <v>60</v>
      </c>
      <c r="J10" s="78" t="s">
        <v>0</v>
      </c>
      <c r="K10" s="76" t="s">
        <v>1</v>
      </c>
      <c r="L10" s="76" t="s">
        <v>68</v>
      </c>
      <c r="M10" s="79" t="s">
        <v>60</v>
      </c>
      <c r="N10" s="80"/>
    </row>
    <row r="11" spans="1:14" ht="21.95" customHeight="1">
      <c r="A11" s="81" t="s">
        <v>89</v>
      </c>
      <c r="B11" s="82"/>
      <c r="C11" s="83"/>
      <c r="D11" s="84"/>
      <c r="E11" s="85"/>
      <c r="F11" s="86"/>
      <c r="G11" s="84"/>
      <c r="H11" s="84"/>
      <c r="I11" s="85"/>
      <c r="J11" s="86"/>
      <c r="K11" s="84"/>
      <c r="L11" s="84"/>
      <c r="M11" s="87"/>
      <c r="N11" s="80"/>
    </row>
    <row r="12" spans="1:14" ht="21.95" customHeight="1">
      <c r="A12" s="88" t="s">
        <v>71</v>
      </c>
      <c r="B12" s="89">
        <f>+C34</f>
        <v>0</v>
      </c>
      <c r="C12" s="90" t="e">
        <f>+E34</f>
        <v>#DIV/0!</v>
      </c>
      <c r="D12" s="91" t="e">
        <f t="shared" ref="D12:D17" si="0">FIXED(B12-1.96*C12,2)&amp;", "&amp;FIXED(B12+1.96*C12,2)</f>
        <v>#DIV/0!</v>
      </c>
      <c r="E12" s="92"/>
      <c r="F12" s="93">
        <f>+C43</f>
        <v>0</v>
      </c>
      <c r="G12" s="94" t="e">
        <f>+E43</f>
        <v>#DIV/0!</v>
      </c>
      <c r="H12" s="91" t="e">
        <f t="shared" ref="H12:H17" si="1">FIXED(F12-1.96*G12,2)&amp;", "&amp;FIXED(F12+1.96*G12,2)</f>
        <v>#DIV/0!</v>
      </c>
      <c r="I12" s="92"/>
      <c r="J12" s="93">
        <f>+C46</f>
        <v>0</v>
      </c>
      <c r="K12" s="94" t="e">
        <f>+E46</f>
        <v>#DIV/0!</v>
      </c>
      <c r="L12" s="91" t="e">
        <f t="shared" ref="L12:L17" si="2">FIXED(J12-1.96*K12,2)&amp;", "&amp;FIXED(J12+1.96*K12,2)</f>
        <v>#DIV/0!</v>
      </c>
      <c r="M12" s="95"/>
      <c r="N12" s="96"/>
    </row>
    <row r="13" spans="1:14" ht="21.95" customHeight="1">
      <c r="A13" s="97" t="s">
        <v>90</v>
      </c>
      <c r="B13" s="98">
        <f>+C59</f>
        <v>0</v>
      </c>
      <c r="C13" s="99" t="e">
        <f>+E59</f>
        <v>#DIV/0!</v>
      </c>
      <c r="D13" s="100" t="e">
        <f t="shared" si="0"/>
        <v>#DIV/0!</v>
      </c>
      <c r="E13" s="101"/>
      <c r="F13" s="102">
        <f>+C68</f>
        <v>0</v>
      </c>
      <c r="G13" s="103" t="e">
        <f>+E68</f>
        <v>#DIV/0!</v>
      </c>
      <c r="H13" s="100" t="e">
        <f t="shared" si="1"/>
        <v>#DIV/0!</v>
      </c>
      <c r="I13" s="101"/>
      <c r="J13" s="102">
        <f>+C71</f>
        <v>0</v>
      </c>
      <c r="K13" s="103" t="e">
        <f>+E71</f>
        <v>#DIV/0!</v>
      </c>
      <c r="L13" s="100" t="e">
        <f t="shared" si="2"/>
        <v>#DIV/0!</v>
      </c>
      <c r="M13" s="104"/>
      <c r="N13" s="96"/>
    </row>
    <row r="14" spans="1:14" ht="21.95" customHeight="1">
      <c r="A14" s="105" t="s">
        <v>91</v>
      </c>
      <c r="B14" s="106">
        <f>+B13-B12</f>
        <v>0</v>
      </c>
      <c r="C14" s="107" t="e">
        <f>+SQRT(C12^2+C13^2)</f>
        <v>#DIV/0!</v>
      </c>
      <c r="D14" s="108" t="e">
        <f t="shared" si="0"/>
        <v>#DIV/0!</v>
      </c>
      <c r="E14" s="109" t="e">
        <f>(1-NORMDIST(ABS(B14/C14),0,1,1))*2</f>
        <v>#DIV/0!</v>
      </c>
      <c r="F14" s="106">
        <f>+F13-F12</f>
        <v>0</v>
      </c>
      <c r="G14" s="107" t="e">
        <f>+SQRT(G12^2+G13^2)</f>
        <v>#DIV/0!</v>
      </c>
      <c r="H14" s="108" t="e">
        <f t="shared" si="1"/>
        <v>#DIV/0!</v>
      </c>
      <c r="I14" s="109" t="e">
        <f>(1-NORMDIST(ABS(F14/G14),0,1,1))*2</f>
        <v>#DIV/0!</v>
      </c>
      <c r="J14" s="106">
        <f>+J13-J12</f>
        <v>0</v>
      </c>
      <c r="K14" s="107" t="e">
        <f>+SQRT(K12^2+K13^2)</f>
        <v>#DIV/0!</v>
      </c>
      <c r="L14" s="108" t="e">
        <f t="shared" si="2"/>
        <v>#DIV/0!</v>
      </c>
      <c r="M14" s="110" t="e">
        <f>(1-NORMDIST(ABS(J14/K14),0,1,1))*2</f>
        <v>#DIV/0!</v>
      </c>
      <c r="N14" s="96"/>
    </row>
    <row r="15" spans="1:14" ht="21.95" customHeight="1">
      <c r="A15" s="111" t="s">
        <v>92</v>
      </c>
      <c r="B15" s="112">
        <f>+C35</f>
        <v>0</v>
      </c>
      <c r="C15" s="113" t="e">
        <f>+E35</f>
        <v>#DIV/0!</v>
      </c>
      <c r="D15" s="114" t="e">
        <f t="shared" si="0"/>
        <v>#DIV/0!</v>
      </c>
      <c r="E15" s="92"/>
      <c r="F15" s="115">
        <f>+C44</f>
        <v>0</v>
      </c>
      <c r="G15" s="116" t="e">
        <f>+E44</f>
        <v>#DIV/0!</v>
      </c>
      <c r="H15" s="114" t="e">
        <f t="shared" si="1"/>
        <v>#DIV/0!</v>
      </c>
      <c r="I15" s="92"/>
      <c r="J15" s="115">
        <f>+C47</f>
        <v>0</v>
      </c>
      <c r="K15" s="116" t="e">
        <f>+E47</f>
        <v>#DIV/0!</v>
      </c>
      <c r="L15" s="114" t="e">
        <f t="shared" si="2"/>
        <v>#DIV/0!</v>
      </c>
      <c r="M15" s="95"/>
      <c r="N15" s="96"/>
    </row>
    <row r="16" spans="1:14" ht="21.95" customHeight="1">
      <c r="A16" s="97" t="s">
        <v>93</v>
      </c>
      <c r="B16" s="117">
        <f>+C60</f>
        <v>0</v>
      </c>
      <c r="C16" s="118" t="e">
        <f>+E60</f>
        <v>#DIV/0!</v>
      </c>
      <c r="D16" s="119" t="e">
        <f t="shared" si="0"/>
        <v>#DIV/0!</v>
      </c>
      <c r="E16" s="101"/>
      <c r="F16" s="120">
        <f>+C69</f>
        <v>0</v>
      </c>
      <c r="G16" s="121" t="e">
        <f>+E69</f>
        <v>#DIV/0!</v>
      </c>
      <c r="H16" s="119" t="e">
        <f t="shared" si="1"/>
        <v>#DIV/0!</v>
      </c>
      <c r="I16" s="101"/>
      <c r="J16" s="120">
        <f>+C72</f>
        <v>0</v>
      </c>
      <c r="K16" s="121" t="e">
        <f>+E72</f>
        <v>#DIV/0!</v>
      </c>
      <c r="L16" s="119" t="e">
        <f t="shared" si="2"/>
        <v>#DIV/0!</v>
      </c>
      <c r="M16" s="104"/>
      <c r="N16" s="96"/>
    </row>
    <row r="17" spans="1:14" ht="21.95" customHeight="1" thickBot="1">
      <c r="A17" s="122" t="s">
        <v>91</v>
      </c>
      <c r="B17" s="123">
        <f>+B16-B15</f>
        <v>0</v>
      </c>
      <c r="C17" s="124" t="e">
        <f>+SQRT(C15^2+C16^2)</f>
        <v>#DIV/0!</v>
      </c>
      <c r="D17" s="125" t="e">
        <f t="shared" si="0"/>
        <v>#DIV/0!</v>
      </c>
      <c r="E17" s="126" t="e">
        <f>(1-NORMDIST(ABS(B17/C17),0,1,1))*2</f>
        <v>#DIV/0!</v>
      </c>
      <c r="F17" s="123">
        <f>+F16-F15</f>
        <v>0</v>
      </c>
      <c r="G17" s="124" t="e">
        <f>+SQRT(G15^2+G16^2)</f>
        <v>#DIV/0!</v>
      </c>
      <c r="H17" s="125" t="e">
        <f t="shared" si="1"/>
        <v>#DIV/0!</v>
      </c>
      <c r="I17" s="126" t="e">
        <f>(1-NORMDIST(ABS(F17/G17),0,1,1))*2</f>
        <v>#DIV/0!</v>
      </c>
      <c r="J17" s="123">
        <f>+J16-J15</f>
        <v>0</v>
      </c>
      <c r="K17" s="124" t="e">
        <f>+SQRT(K15^2+K16^2)</f>
        <v>#DIV/0!</v>
      </c>
      <c r="L17" s="125" t="e">
        <f t="shared" si="2"/>
        <v>#DIV/0!</v>
      </c>
      <c r="M17" s="127" t="e">
        <f>(1-NORMDIST(ABS(J17/K17),0,1,1))*2</f>
        <v>#DIV/0!</v>
      </c>
      <c r="N17" s="96"/>
    </row>
    <row r="18" spans="1:14" ht="80.099999999999994" customHeight="1">
      <c r="A18" s="66" t="s">
        <v>94</v>
      </c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1"/>
      <c r="N18" s="65"/>
    </row>
    <row r="19" spans="1:14" ht="80.099999999999994" customHeight="1">
      <c r="A19" s="67" t="s">
        <v>95</v>
      </c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4"/>
      <c r="N19" s="65"/>
    </row>
    <row r="20" spans="1:14" ht="51" customHeight="1" thickBot="1">
      <c r="A20" s="68" t="s">
        <v>96</v>
      </c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7"/>
      <c r="N20" s="65"/>
    </row>
    <row r="21" spans="1:14" ht="21.95" customHeight="1">
      <c r="A21" s="128" t="s">
        <v>97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4" ht="21.95" customHeight="1">
      <c r="A22" s="128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4" ht="32.25" customHeight="1">
      <c r="A23" s="264" t="s">
        <v>98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</row>
    <row r="24" spans="1:14" ht="18.75">
      <c r="A24" s="50" t="s">
        <v>71</v>
      </c>
    </row>
    <row r="25" spans="1:14" ht="18" thickBot="1">
      <c r="A25" s="9" t="s">
        <v>12</v>
      </c>
    </row>
    <row r="26" spans="1:14" ht="30" thickBot="1">
      <c r="A26" s="6" t="s">
        <v>9</v>
      </c>
      <c r="B26" s="51" t="s">
        <v>72</v>
      </c>
      <c r="C26" s="52" t="s">
        <v>0</v>
      </c>
      <c r="D26" s="51" t="s">
        <v>73</v>
      </c>
      <c r="E26" s="52" t="s">
        <v>74</v>
      </c>
      <c r="F26" s="6" t="s">
        <v>10</v>
      </c>
      <c r="G26" s="6" t="s">
        <v>8</v>
      </c>
      <c r="H26" s="6" t="s">
        <v>18</v>
      </c>
    </row>
    <row r="27" spans="1:14">
      <c r="A27" s="7" t="s">
        <v>5</v>
      </c>
      <c r="C27" s="2"/>
      <c r="E27" s="2"/>
      <c r="F27" s="2"/>
      <c r="G27" s="2"/>
      <c r="H27" s="2"/>
    </row>
    <row r="28" spans="1:14">
      <c r="A28" s="1" t="s">
        <v>132</v>
      </c>
      <c r="B28" s="53"/>
      <c r="C28" s="12"/>
      <c r="D28" s="12"/>
      <c r="E28" s="54" t="e">
        <f t="shared" ref="E28:E34" si="3">D28/SQRT(B28)</f>
        <v>#DIV/0!</v>
      </c>
      <c r="F28" s="55">
        <v>15631</v>
      </c>
      <c r="G28" s="2">
        <f t="shared" ref="G28:G33" si="4">+C28*F28</f>
        <v>0</v>
      </c>
      <c r="H28" s="2" t="e">
        <f t="shared" ref="H28:H33" si="5">+E28*E28*F28*F28</f>
        <v>#DIV/0!</v>
      </c>
      <c r="I28" s="129"/>
    </row>
    <row r="29" spans="1:14">
      <c r="A29" s="1" t="s">
        <v>133</v>
      </c>
      <c r="B29" s="53"/>
      <c r="C29" s="12"/>
      <c r="D29" s="12"/>
      <c r="E29" s="54" t="e">
        <f t="shared" si="3"/>
        <v>#DIV/0!</v>
      </c>
      <c r="F29" s="55">
        <v>18491</v>
      </c>
      <c r="G29" s="2">
        <f t="shared" si="4"/>
        <v>0</v>
      </c>
      <c r="H29" s="2" t="e">
        <f t="shared" si="5"/>
        <v>#DIV/0!</v>
      </c>
      <c r="I29" s="129"/>
    </row>
    <row r="30" spans="1:14">
      <c r="A30" s="1" t="s">
        <v>134</v>
      </c>
      <c r="B30" s="53"/>
      <c r="C30" s="12"/>
      <c r="D30" s="12"/>
      <c r="E30" s="54" t="e">
        <f t="shared" si="3"/>
        <v>#DIV/0!</v>
      </c>
      <c r="F30" s="55">
        <v>15806</v>
      </c>
      <c r="G30" s="2">
        <f t="shared" si="4"/>
        <v>0</v>
      </c>
      <c r="H30" s="2" t="e">
        <f t="shared" si="5"/>
        <v>#DIV/0!</v>
      </c>
      <c r="I30" s="129"/>
    </row>
    <row r="31" spans="1:14">
      <c r="A31" s="1" t="s">
        <v>135</v>
      </c>
      <c r="B31" s="53"/>
      <c r="C31" s="12"/>
      <c r="D31" s="12"/>
      <c r="E31" s="54" t="e">
        <f t="shared" si="3"/>
        <v>#DIV/0!</v>
      </c>
      <c r="F31" s="55">
        <v>19052</v>
      </c>
      <c r="G31" s="2">
        <f t="shared" si="4"/>
        <v>0</v>
      </c>
      <c r="H31" s="2" t="e">
        <f t="shared" si="5"/>
        <v>#DIV/0!</v>
      </c>
      <c r="I31" s="129"/>
    </row>
    <row r="32" spans="1:14">
      <c r="A32" s="1" t="s">
        <v>136</v>
      </c>
      <c r="B32" s="53"/>
      <c r="C32" s="12"/>
      <c r="D32" s="12"/>
      <c r="E32" s="54" t="e">
        <f t="shared" si="3"/>
        <v>#DIV/0!</v>
      </c>
      <c r="F32" s="55">
        <v>15977</v>
      </c>
      <c r="G32" s="2">
        <f t="shared" si="4"/>
        <v>0</v>
      </c>
      <c r="H32" s="2" t="e">
        <f t="shared" si="5"/>
        <v>#DIV/0!</v>
      </c>
      <c r="I32" s="129"/>
    </row>
    <row r="33" spans="1:9">
      <c r="A33" s="1" t="s">
        <v>137</v>
      </c>
      <c r="B33" s="53"/>
      <c r="C33" s="12"/>
      <c r="D33" s="12"/>
      <c r="E33" s="54" t="e">
        <f t="shared" si="3"/>
        <v>#DIV/0!</v>
      </c>
      <c r="F33" s="55">
        <v>18239</v>
      </c>
      <c r="G33" s="2">
        <f t="shared" si="4"/>
        <v>0</v>
      </c>
      <c r="H33" s="2" t="e">
        <f t="shared" si="5"/>
        <v>#DIV/0!</v>
      </c>
      <c r="I33" s="129"/>
    </row>
    <row r="34" spans="1:9">
      <c r="A34" s="1" t="s">
        <v>138</v>
      </c>
      <c r="B34" s="53"/>
      <c r="C34" s="12"/>
      <c r="D34" s="12"/>
      <c r="E34" s="54" t="e">
        <f t="shared" si="3"/>
        <v>#DIV/0!</v>
      </c>
      <c r="F34" s="2">
        <f>SUM(F28:F33)</f>
        <v>103196</v>
      </c>
      <c r="G34" s="2">
        <f>+SUM(G28:G33)</f>
        <v>0</v>
      </c>
      <c r="H34" s="2" t="e">
        <f>+SUM(H28:H33)</f>
        <v>#DIV/0!</v>
      </c>
    </row>
    <row r="35" spans="1:9">
      <c r="A35" s="3" t="s">
        <v>4</v>
      </c>
      <c r="B35" s="56" t="s">
        <v>123</v>
      </c>
      <c r="C35" s="13">
        <f>+G34/F34</f>
        <v>0</v>
      </c>
      <c r="D35" s="57" t="s">
        <v>123</v>
      </c>
      <c r="E35" s="13" t="e">
        <f>SQRT(H34)/F34</f>
        <v>#DIV/0!</v>
      </c>
      <c r="F35" s="2"/>
      <c r="G35" s="2"/>
      <c r="H35" s="2"/>
    </row>
    <row r="36" spans="1:9">
      <c r="A36" s="7" t="s">
        <v>6</v>
      </c>
      <c r="B36" s="58"/>
      <c r="C36" s="14"/>
      <c r="D36" s="14"/>
      <c r="E36" s="14"/>
      <c r="F36" s="2"/>
      <c r="G36" s="2"/>
      <c r="H36" s="2"/>
    </row>
    <row r="37" spans="1:9">
      <c r="A37" s="1" t="s">
        <v>75</v>
      </c>
      <c r="B37" s="53"/>
      <c r="C37" s="12"/>
      <c r="D37" s="12"/>
      <c r="E37" s="54" t="e">
        <f t="shared" ref="E37:E43" si="6">D37/SQRT(B37)</f>
        <v>#DIV/0!</v>
      </c>
      <c r="F37" s="55">
        <v>15631</v>
      </c>
      <c r="G37" s="55">
        <f t="shared" ref="G37:G42" si="7">+C37*F37</f>
        <v>0</v>
      </c>
      <c r="H37" s="55" t="e">
        <f t="shared" ref="H37:H42" si="8">+E37*E37*F37*F37</f>
        <v>#DIV/0!</v>
      </c>
    </row>
    <row r="38" spans="1:9">
      <c r="A38" s="1" t="s">
        <v>76</v>
      </c>
      <c r="B38" s="53"/>
      <c r="C38" s="12"/>
      <c r="D38" s="12"/>
      <c r="E38" s="54" t="e">
        <f t="shared" si="6"/>
        <v>#DIV/0!</v>
      </c>
      <c r="F38" s="55">
        <v>18491</v>
      </c>
      <c r="G38" s="55">
        <f t="shared" si="7"/>
        <v>0</v>
      </c>
      <c r="H38" s="55" t="e">
        <f t="shared" si="8"/>
        <v>#DIV/0!</v>
      </c>
    </row>
    <row r="39" spans="1:9">
      <c r="A39" s="1" t="s">
        <v>78</v>
      </c>
      <c r="B39" s="53"/>
      <c r="C39" s="12"/>
      <c r="D39" s="12"/>
      <c r="E39" s="54" t="e">
        <f t="shared" si="6"/>
        <v>#DIV/0!</v>
      </c>
      <c r="F39" s="55">
        <v>15806</v>
      </c>
      <c r="G39" s="55">
        <f t="shared" si="7"/>
        <v>0</v>
      </c>
      <c r="H39" s="55" t="e">
        <f t="shared" si="8"/>
        <v>#DIV/0!</v>
      </c>
    </row>
    <row r="40" spans="1:9">
      <c r="A40" s="1" t="s">
        <v>79</v>
      </c>
      <c r="B40" s="53"/>
      <c r="C40" s="12"/>
      <c r="D40" s="12"/>
      <c r="E40" s="54" t="e">
        <f t="shared" si="6"/>
        <v>#DIV/0!</v>
      </c>
      <c r="F40" s="55">
        <v>19052</v>
      </c>
      <c r="G40" s="55">
        <f t="shared" si="7"/>
        <v>0</v>
      </c>
      <c r="H40" s="55" t="e">
        <f t="shared" si="8"/>
        <v>#DIV/0!</v>
      </c>
    </row>
    <row r="41" spans="1:9">
      <c r="A41" s="1" t="s">
        <v>80</v>
      </c>
      <c r="B41" s="53"/>
      <c r="C41" s="12"/>
      <c r="D41" s="12"/>
      <c r="E41" s="54" t="e">
        <f t="shared" si="6"/>
        <v>#DIV/0!</v>
      </c>
      <c r="F41" s="55">
        <v>15977</v>
      </c>
      <c r="G41" s="55">
        <f t="shared" si="7"/>
        <v>0</v>
      </c>
      <c r="H41" s="55" t="e">
        <f t="shared" si="8"/>
        <v>#DIV/0!</v>
      </c>
    </row>
    <row r="42" spans="1:9">
      <c r="A42" s="1" t="s">
        <v>2</v>
      </c>
      <c r="B42" s="53"/>
      <c r="C42" s="12"/>
      <c r="D42" s="12"/>
      <c r="E42" s="54" t="e">
        <f t="shared" si="6"/>
        <v>#DIV/0!</v>
      </c>
      <c r="F42" s="55">
        <v>18239</v>
      </c>
      <c r="G42" s="55">
        <f t="shared" si="7"/>
        <v>0</v>
      </c>
      <c r="H42" s="55" t="e">
        <f t="shared" si="8"/>
        <v>#DIV/0!</v>
      </c>
    </row>
    <row r="43" spans="1:9">
      <c r="A43" s="1" t="s">
        <v>3</v>
      </c>
      <c r="B43" s="53"/>
      <c r="C43" s="12"/>
      <c r="D43" s="12"/>
      <c r="E43" s="54" t="e">
        <f t="shared" si="6"/>
        <v>#DIV/0!</v>
      </c>
      <c r="F43" s="55">
        <f>SUM(F37:F42)</f>
        <v>103196</v>
      </c>
      <c r="G43" s="55">
        <f>+SUM(G37:G42)</f>
        <v>0</v>
      </c>
      <c r="H43" s="55" t="e">
        <f>+SUM(H37:H42)</f>
        <v>#DIV/0!</v>
      </c>
    </row>
    <row r="44" spans="1:9">
      <c r="A44" s="3" t="s">
        <v>4</v>
      </c>
      <c r="B44" s="56" t="s">
        <v>123</v>
      </c>
      <c r="C44" s="13">
        <f>+G43/F43</f>
        <v>0</v>
      </c>
      <c r="D44" s="57" t="s">
        <v>123</v>
      </c>
      <c r="E44" s="13" t="e">
        <f>SQRT(H43)/F43</f>
        <v>#DIV/0!</v>
      </c>
      <c r="F44" s="1"/>
      <c r="G44" s="1"/>
      <c r="H44" s="1"/>
    </row>
    <row r="45" spans="1:9">
      <c r="A45" s="8" t="s">
        <v>11</v>
      </c>
      <c r="B45" s="59"/>
      <c r="F45" s="1"/>
      <c r="G45" s="1"/>
      <c r="H45" s="1"/>
    </row>
    <row r="46" spans="1:9">
      <c r="A46" s="1" t="s">
        <v>124</v>
      </c>
      <c r="B46" s="53"/>
      <c r="C46" s="12"/>
      <c r="D46" s="145"/>
      <c r="E46" s="54" t="e">
        <f>D46/SQRT(B46)</f>
        <v>#DIV/0!</v>
      </c>
      <c r="F46" s="1"/>
      <c r="G46" s="1"/>
      <c r="H46" s="1"/>
    </row>
    <row r="47" spans="1:9" ht="14.25" thickBot="1">
      <c r="A47" s="4" t="s">
        <v>7</v>
      </c>
      <c r="B47" s="60" t="s">
        <v>125</v>
      </c>
      <c r="C47" s="15">
        <f>+(G34+G43)/(F34+F43)</f>
        <v>0</v>
      </c>
      <c r="D47" s="61" t="s">
        <v>125</v>
      </c>
      <c r="E47" s="15" t="e">
        <f>+SQRT(H34+H43)/(F34+F43)</f>
        <v>#DIV/0!</v>
      </c>
      <c r="F47" s="5"/>
      <c r="G47" s="5"/>
      <c r="H47" s="5"/>
    </row>
    <row r="49" spans="1:8" ht="18.75">
      <c r="A49" s="50" t="s">
        <v>67</v>
      </c>
    </row>
    <row r="50" spans="1:8" ht="18" thickBot="1">
      <c r="A50" s="9" t="s">
        <v>12</v>
      </c>
    </row>
    <row r="51" spans="1:8" ht="30" thickBot="1">
      <c r="A51" s="6" t="s">
        <v>9</v>
      </c>
      <c r="B51" s="51" t="s">
        <v>72</v>
      </c>
      <c r="C51" s="52" t="s">
        <v>0</v>
      </c>
      <c r="D51" s="51" t="s">
        <v>73</v>
      </c>
      <c r="E51" s="52" t="s">
        <v>74</v>
      </c>
      <c r="F51" s="6" t="s">
        <v>10</v>
      </c>
      <c r="G51" s="6" t="s">
        <v>8</v>
      </c>
      <c r="H51" s="6" t="s">
        <v>18</v>
      </c>
    </row>
    <row r="52" spans="1:8">
      <c r="A52" s="7" t="s">
        <v>5</v>
      </c>
      <c r="C52" s="2"/>
      <c r="E52" s="2"/>
      <c r="F52" s="2"/>
      <c r="G52" s="2"/>
      <c r="H52" s="2"/>
    </row>
    <row r="53" spans="1:8">
      <c r="A53" s="1" t="s">
        <v>132</v>
      </c>
      <c r="B53" s="53"/>
      <c r="C53" s="12"/>
      <c r="D53" s="12"/>
      <c r="E53" s="54" t="e">
        <f t="shared" ref="E53:E59" si="9">D53/SQRT(B53)</f>
        <v>#DIV/0!</v>
      </c>
      <c r="F53" s="55">
        <v>15631</v>
      </c>
      <c r="G53" s="2">
        <f t="shared" ref="G53:G58" si="10">+C53*F53</f>
        <v>0</v>
      </c>
      <c r="H53" s="2" t="e">
        <f t="shared" ref="H53:H58" si="11">+E53*E53*F53*F53</f>
        <v>#DIV/0!</v>
      </c>
    </row>
    <row r="54" spans="1:8">
      <c r="A54" s="1" t="s">
        <v>133</v>
      </c>
      <c r="B54" s="53"/>
      <c r="C54" s="12"/>
      <c r="D54" s="12"/>
      <c r="E54" s="54" t="e">
        <f t="shared" si="9"/>
        <v>#DIV/0!</v>
      </c>
      <c r="F54" s="55">
        <v>18491</v>
      </c>
      <c r="G54" s="2">
        <f t="shared" si="10"/>
        <v>0</v>
      </c>
      <c r="H54" s="2" t="e">
        <f t="shared" si="11"/>
        <v>#DIV/0!</v>
      </c>
    </row>
    <row r="55" spans="1:8">
      <c r="A55" s="1" t="s">
        <v>134</v>
      </c>
      <c r="B55" s="53"/>
      <c r="C55" s="12"/>
      <c r="D55" s="12"/>
      <c r="E55" s="54" t="e">
        <f t="shared" si="9"/>
        <v>#DIV/0!</v>
      </c>
      <c r="F55" s="55">
        <v>15806</v>
      </c>
      <c r="G55" s="2">
        <f t="shared" si="10"/>
        <v>0</v>
      </c>
      <c r="H55" s="2" t="e">
        <f t="shared" si="11"/>
        <v>#DIV/0!</v>
      </c>
    </row>
    <row r="56" spans="1:8">
      <c r="A56" s="1" t="s">
        <v>135</v>
      </c>
      <c r="B56" s="53"/>
      <c r="C56" s="12"/>
      <c r="D56" s="12"/>
      <c r="E56" s="54" t="e">
        <f t="shared" si="9"/>
        <v>#DIV/0!</v>
      </c>
      <c r="F56" s="55">
        <v>19052</v>
      </c>
      <c r="G56" s="2">
        <f t="shared" si="10"/>
        <v>0</v>
      </c>
      <c r="H56" s="2" t="e">
        <f t="shared" si="11"/>
        <v>#DIV/0!</v>
      </c>
    </row>
    <row r="57" spans="1:8">
      <c r="A57" s="1" t="s">
        <v>136</v>
      </c>
      <c r="B57" s="53"/>
      <c r="C57" s="12"/>
      <c r="D57" s="12"/>
      <c r="E57" s="54" t="e">
        <f t="shared" si="9"/>
        <v>#DIV/0!</v>
      </c>
      <c r="F57" s="55">
        <v>15977</v>
      </c>
      <c r="G57" s="2">
        <f t="shared" si="10"/>
        <v>0</v>
      </c>
      <c r="H57" s="2" t="e">
        <f t="shared" si="11"/>
        <v>#DIV/0!</v>
      </c>
    </row>
    <row r="58" spans="1:8">
      <c r="A58" s="1" t="s">
        <v>137</v>
      </c>
      <c r="B58" s="53"/>
      <c r="C58" s="12"/>
      <c r="D58" s="12"/>
      <c r="E58" s="54" t="e">
        <f t="shared" si="9"/>
        <v>#DIV/0!</v>
      </c>
      <c r="F58" s="55">
        <v>18239</v>
      </c>
      <c r="G58" s="2">
        <f t="shared" si="10"/>
        <v>0</v>
      </c>
      <c r="H58" s="2" t="e">
        <f t="shared" si="11"/>
        <v>#DIV/0!</v>
      </c>
    </row>
    <row r="59" spans="1:8">
      <c r="A59" s="1" t="s">
        <v>138</v>
      </c>
      <c r="B59" s="53"/>
      <c r="C59" s="12"/>
      <c r="D59" s="12"/>
      <c r="E59" s="54" t="e">
        <f t="shared" si="9"/>
        <v>#DIV/0!</v>
      </c>
      <c r="F59" s="2">
        <f>SUM(F53:F58)</f>
        <v>103196</v>
      </c>
      <c r="G59" s="2">
        <f>+SUM(G53:G58)</f>
        <v>0</v>
      </c>
      <c r="H59" s="2" t="e">
        <f>+SUM(H53:H58)</f>
        <v>#DIV/0!</v>
      </c>
    </row>
    <row r="60" spans="1:8">
      <c r="A60" s="3" t="s">
        <v>4</v>
      </c>
      <c r="B60" s="56" t="s">
        <v>123</v>
      </c>
      <c r="C60" s="13">
        <f>+G59/F59</f>
        <v>0</v>
      </c>
      <c r="D60" s="57" t="s">
        <v>123</v>
      </c>
      <c r="E60" s="13" t="e">
        <f>SQRT(H59)/F59</f>
        <v>#DIV/0!</v>
      </c>
      <c r="F60" s="2"/>
      <c r="G60" s="2"/>
      <c r="H60" s="2"/>
    </row>
    <row r="61" spans="1:8">
      <c r="A61" s="7" t="s">
        <v>6</v>
      </c>
      <c r="B61" s="58"/>
      <c r="C61" s="14"/>
      <c r="D61" s="14"/>
      <c r="E61" s="48"/>
      <c r="F61" s="2"/>
      <c r="G61" s="2"/>
      <c r="H61" s="2"/>
    </row>
    <row r="62" spans="1:8">
      <c r="A62" s="1" t="s">
        <v>75</v>
      </c>
      <c r="B62" s="53"/>
      <c r="C62" s="12"/>
      <c r="D62" s="12"/>
      <c r="E62" s="54" t="e">
        <f t="shared" ref="E62:E68" si="12">D62/SQRT(B62)</f>
        <v>#DIV/0!</v>
      </c>
      <c r="F62" s="55">
        <v>15631</v>
      </c>
      <c r="G62" s="55">
        <f t="shared" ref="G62:G67" si="13">+C62*F62</f>
        <v>0</v>
      </c>
      <c r="H62" s="55" t="e">
        <f t="shared" ref="H62:H67" si="14">+E62*E62*F62*F62</f>
        <v>#DIV/0!</v>
      </c>
    </row>
    <row r="63" spans="1:8">
      <c r="A63" s="1" t="s">
        <v>76</v>
      </c>
      <c r="B63" s="53"/>
      <c r="C63" s="12"/>
      <c r="D63" s="12"/>
      <c r="E63" s="54" t="e">
        <f t="shared" si="12"/>
        <v>#DIV/0!</v>
      </c>
      <c r="F63" s="55">
        <v>18491</v>
      </c>
      <c r="G63" s="55">
        <f t="shared" si="13"/>
        <v>0</v>
      </c>
      <c r="H63" s="55" t="e">
        <f t="shared" si="14"/>
        <v>#DIV/0!</v>
      </c>
    </row>
    <row r="64" spans="1:8">
      <c r="A64" s="1" t="s">
        <v>78</v>
      </c>
      <c r="B64" s="53"/>
      <c r="C64" s="12"/>
      <c r="D64" s="12"/>
      <c r="E64" s="54" t="e">
        <f t="shared" si="12"/>
        <v>#DIV/0!</v>
      </c>
      <c r="F64" s="55">
        <v>15806</v>
      </c>
      <c r="G64" s="55">
        <f t="shared" si="13"/>
        <v>0</v>
      </c>
      <c r="H64" s="55" t="e">
        <f t="shared" si="14"/>
        <v>#DIV/0!</v>
      </c>
    </row>
    <row r="65" spans="1:8">
      <c r="A65" s="1" t="s">
        <v>79</v>
      </c>
      <c r="B65" s="53"/>
      <c r="C65" s="12"/>
      <c r="D65" s="12"/>
      <c r="E65" s="54" t="e">
        <f t="shared" si="12"/>
        <v>#DIV/0!</v>
      </c>
      <c r="F65" s="55">
        <v>19052</v>
      </c>
      <c r="G65" s="55">
        <f t="shared" si="13"/>
        <v>0</v>
      </c>
      <c r="H65" s="55" t="e">
        <f t="shared" si="14"/>
        <v>#DIV/0!</v>
      </c>
    </row>
    <row r="66" spans="1:8">
      <c r="A66" s="1" t="s">
        <v>80</v>
      </c>
      <c r="B66" s="53"/>
      <c r="C66" s="12"/>
      <c r="D66" s="12"/>
      <c r="E66" s="54" t="e">
        <f t="shared" si="12"/>
        <v>#DIV/0!</v>
      </c>
      <c r="F66" s="55">
        <v>15977</v>
      </c>
      <c r="G66" s="55">
        <f t="shared" si="13"/>
        <v>0</v>
      </c>
      <c r="H66" s="55" t="e">
        <f t="shared" si="14"/>
        <v>#DIV/0!</v>
      </c>
    </row>
    <row r="67" spans="1:8">
      <c r="A67" s="1" t="s">
        <v>2</v>
      </c>
      <c r="B67" s="53"/>
      <c r="C67" s="12"/>
      <c r="D67" s="12"/>
      <c r="E67" s="54" t="e">
        <f t="shared" si="12"/>
        <v>#DIV/0!</v>
      </c>
      <c r="F67" s="55">
        <v>18239</v>
      </c>
      <c r="G67" s="55">
        <f t="shared" si="13"/>
        <v>0</v>
      </c>
      <c r="H67" s="55" t="e">
        <f t="shared" si="14"/>
        <v>#DIV/0!</v>
      </c>
    </row>
    <row r="68" spans="1:8">
      <c r="A68" s="1" t="s">
        <v>3</v>
      </c>
      <c r="B68" s="53"/>
      <c r="C68" s="12"/>
      <c r="D68" s="12"/>
      <c r="E68" s="54" t="e">
        <f t="shared" si="12"/>
        <v>#DIV/0!</v>
      </c>
      <c r="F68" s="55">
        <f>SUM(F62:F67)</f>
        <v>103196</v>
      </c>
      <c r="G68" s="55">
        <f>+SUM(G62:G67)</f>
        <v>0</v>
      </c>
      <c r="H68" s="55" t="e">
        <f>+SUM(H62:H67)</f>
        <v>#DIV/0!</v>
      </c>
    </row>
    <row r="69" spans="1:8">
      <c r="A69" s="3" t="s">
        <v>4</v>
      </c>
      <c r="B69" s="56" t="s">
        <v>123</v>
      </c>
      <c r="C69" s="13">
        <f>+G68/F68</f>
        <v>0</v>
      </c>
      <c r="D69" s="57" t="s">
        <v>123</v>
      </c>
      <c r="E69" s="13" t="e">
        <f>SQRT(H68)/F68</f>
        <v>#DIV/0!</v>
      </c>
      <c r="F69" s="1"/>
      <c r="G69" s="1"/>
      <c r="H69" s="1"/>
    </row>
    <row r="70" spans="1:8">
      <c r="A70" s="8" t="s">
        <v>11</v>
      </c>
      <c r="B70" s="59"/>
      <c r="E70" s="130"/>
      <c r="F70" s="1"/>
      <c r="G70" s="1"/>
      <c r="H70" s="1"/>
    </row>
    <row r="71" spans="1:8">
      <c r="A71" s="1" t="s">
        <v>124</v>
      </c>
      <c r="B71" s="53"/>
      <c r="C71" s="12"/>
      <c r="D71" s="145"/>
      <c r="E71" s="54" t="e">
        <f>D71/SQRT(B71)</f>
        <v>#DIV/0!</v>
      </c>
      <c r="F71" s="1"/>
      <c r="G71" s="1"/>
      <c r="H71" s="1"/>
    </row>
    <row r="72" spans="1:8" ht="14.25" thickBot="1">
      <c r="A72" s="4" t="s">
        <v>7</v>
      </c>
      <c r="B72" s="60" t="s">
        <v>125</v>
      </c>
      <c r="C72" s="15">
        <f>+(G59+G68)/(F59+F68)</f>
        <v>0</v>
      </c>
      <c r="D72" s="61" t="s">
        <v>125</v>
      </c>
      <c r="E72" s="15" t="e">
        <f>+SQRT(H59+H68)/(F59+F68)</f>
        <v>#DIV/0!</v>
      </c>
      <c r="F72" s="5"/>
      <c r="G72" s="5"/>
      <c r="H72" s="5"/>
    </row>
  </sheetData>
  <mergeCells count="10">
    <mergeCell ref="A23:L23"/>
    <mergeCell ref="B3:M3"/>
    <mergeCell ref="B4:M4"/>
    <mergeCell ref="B5:M5"/>
    <mergeCell ref="B6:M6"/>
    <mergeCell ref="B20:M20"/>
    <mergeCell ref="B19:M19"/>
    <mergeCell ref="B7:M7"/>
    <mergeCell ref="B8:M8"/>
    <mergeCell ref="B18:M18"/>
  </mergeCells>
  <phoneticPr fontId="2"/>
  <pageMargins left="0.75" right="0.75" top="1" bottom="1" header="0.51200000000000001" footer="0.51200000000000001"/>
  <pageSetup paperSize="9" scale="65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4"/>
  <sheetViews>
    <sheetView workbookViewId="0"/>
  </sheetViews>
  <sheetFormatPr defaultRowHeight="13.5"/>
  <cols>
    <col min="1" max="1" width="22.25" customWidth="1"/>
    <col min="2" max="2" width="9.125" bestFit="1" customWidth="1"/>
    <col min="3" max="3" width="9.875" bestFit="1" customWidth="1"/>
    <col min="4" max="4" width="12.625" customWidth="1"/>
    <col min="5" max="5" width="7.625" customWidth="1"/>
    <col min="6" max="6" width="9.125" bestFit="1" customWidth="1"/>
    <col min="7" max="7" width="9.375" bestFit="1" customWidth="1"/>
    <col min="8" max="8" width="12.625" customWidth="1"/>
    <col min="9" max="9" width="7.625" customWidth="1"/>
    <col min="10" max="11" width="9.125" bestFit="1" customWidth="1"/>
    <col min="12" max="12" width="12.625" customWidth="1"/>
    <col min="13" max="13" width="7.625" customWidth="1"/>
  </cols>
  <sheetData>
    <row r="1" spans="1:14" ht="21.95" customHeight="1">
      <c r="A1" s="131" t="s">
        <v>120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ht="26.25" customHeight="1" thickBot="1">
      <c r="A2" s="63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1.95" customHeight="1" thickBot="1">
      <c r="A3" s="64" t="s">
        <v>83</v>
      </c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/>
      <c r="N3" s="65"/>
    </row>
    <row r="4" spans="1:14" ht="21.95" customHeight="1">
      <c r="A4" s="66" t="s">
        <v>84</v>
      </c>
      <c r="B4" s="269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1"/>
      <c r="N4" s="65"/>
    </row>
    <row r="5" spans="1:14" ht="21.95" customHeight="1">
      <c r="A5" s="67" t="s">
        <v>85</v>
      </c>
      <c r="B5" s="272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  <c r="N5" s="65"/>
    </row>
    <row r="6" spans="1:14" ht="21.95" customHeight="1" thickBot="1">
      <c r="A6" s="68" t="s">
        <v>86</v>
      </c>
      <c r="B6" s="275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  <c r="N6" s="65"/>
    </row>
    <row r="7" spans="1:14" ht="31.5" customHeight="1">
      <c r="A7" s="66" t="s">
        <v>87</v>
      </c>
      <c r="B7" s="269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1"/>
      <c r="N7" s="65"/>
    </row>
    <row r="8" spans="1:14" ht="32.25" customHeight="1" thickBot="1">
      <c r="A8" s="68" t="s">
        <v>88</v>
      </c>
      <c r="B8" s="275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7"/>
      <c r="N8" s="65"/>
    </row>
    <row r="9" spans="1:14" ht="21.95" customHeight="1">
      <c r="A9" s="69"/>
      <c r="B9" s="70" t="s">
        <v>5</v>
      </c>
      <c r="C9" s="71"/>
      <c r="D9" s="71"/>
      <c r="E9" s="71"/>
      <c r="F9" s="70" t="s">
        <v>43</v>
      </c>
      <c r="G9" s="71"/>
      <c r="H9" s="71"/>
      <c r="I9" s="71"/>
      <c r="J9" s="70" t="s">
        <v>11</v>
      </c>
      <c r="K9" s="71"/>
      <c r="L9" s="71"/>
      <c r="M9" s="72"/>
      <c r="N9" s="1"/>
    </row>
    <row r="10" spans="1:14" ht="21.95" customHeight="1">
      <c r="A10" s="73"/>
      <c r="B10" s="74" t="s">
        <v>0</v>
      </c>
      <c r="C10" s="75" t="s">
        <v>1</v>
      </c>
      <c r="D10" s="76" t="s">
        <v>68</v>
      </c>
      <c r="E10" s="77" t="s">
        <v>60</v>
      </c>
      <c r="F10" s="78" t="s">
        <v>0</v>
      </c>
      <c r="G10" s="76" t="s">
        <v>1</v>
      </c>
      <c r="H10" s="76" t="s">
        <v>68</v>
      </c>
      <c r="I10" s="77" t="s">
        <v>60</v>
      </c>
      <c r="J10" s="78" t="s">
        <v>0</v>
      </c>
      <c r="K10" s="76" t="s">
        <v>1</v>
      </c>
      <c r="L10" s="76" t="s">
        <v>68</v>
      </c>
      <c r="M10" s="79" t="s">
        <v>60</v>
      </c>
      <c r="N10" s="80"/>
    </row>
    <row r="11" spans="1:14" ht="21.95" customHeight="1">
      <c r="A11" s="81" t="s">
        <v>89</v>
      </c>
      <c r="B11" s="82"/>
      <c r="C11" s="83"/>
      <c r="D11" s="84"/>
      <c r="E11" s="85"/>
      <c r="F11" s="86"/>
      <c r="G11" s="84"/>
      <c r="H11" s="84"/>
      <c r="I11" s="85"/>
      <c r="J11" s="86"/>
      <c r="K11" s="84"/>
      <c r="L11" s="84"/>
      <c r="M11" s="87"/>
      <c r="N11" s="80"/>
    </row>
    <row r="12" spans="1:14" ht="21.95" customHeight="1">
      <c r="A12" s="88" t="s">
        <v>71</v>
      </c>
      <c r="B12" s="89">
        <f>+C32</f>
        <v>0</v>
      </c>
      <c r="C12" s="90" t="e">
        <f>+E32</f>
        <v>#DIV/0!</v>
      </c>
      <c r="D12" s="91" t="e">
        <f t="shared" ref="D12:D17" si="0">FIXED(B12-1.96*C12,2)&amp;", "&amp;FIXED(B12+1.96*C12,2)</f>
        <v>#DIV/0!</v>
      </c>
      <c r="E12" s="92"/>
      <c r="F12" s="93">
        <f>+C39</f>
        <v>0</v>
      </c>
      <c r="G12" s="94" t="e">
        <f>+E39</f>
        <v>#DIV/0!</v>
      </c>
      <c r="H12" s="91" t="e">
        <f t="shared" ref="H12:H17" si="1">FIXED(F12-1.96*G12,2)&amp;", "&amp;FIXED(F12+1.96*G12,2)</f>
        <v>#DIV/0!</v>
      </c>
      <c r="I12" s="92"/>
      <c r="J12" s="93">
        <f>+C42</f>
        <v>0</v>
      </c>
      <c r="K12" s="94" t="e">
        <f>+E42</f>
        <v>#DIV/0!</v>
      </c>
      <c r="L12" s="91" t="e">
        <f t="shared" ref="L12:L17" si="2">FIXED(J12-1.96*K12,2)&amp;", "&amp;FIXED(J12+1.96*K12,2)</f>
        <v>#DIV/0!</v>
      </c>
      <c r="M12" s="95"/>
      <c r="N12" s="96"/>
    </row>
    <row r="13" spans="1:14" ht="21.95" customHeight="1">
      <c r="A13" s="97" t="s">
        <v>90</v>
      </c>
      <c r="B13" s="98">
        <f>+C53</f>
        <v>0</v>
      </c>
      <c r="C13" s="99" t="e">
        <f>+E53</f>
        <v>#DIV/0!</v>
      </c>
      <c r="D13" s="100" t="e">
        <f t="shared" si="0"/>
        <v>#DIV/0!</v>
      </c>
      <c r="E13" s="101"/>
      <c r="F13" s="102">
        <f>+C60</f>
        <v>0</v>
      </c>
      <c r="G13" s="103" t="e">
        <f>+E60</f>
        <v>#DIV/0!</v>
      </c>
      <c r="H13" s="100" t="e">
        <f t="shared" si="1"/>
        <v>#DIV/0!</v>
      </c>
      <c r="I13" s="101"/>
      <c r="J13" s="102">
        <f>+C63</f>
        <v>0</v>
      </c>
      <c r="K13" s="103" t="e">
        <f>+E63</f>
        <v>#DIV/0!</v>
      </c>
      <c r="L13" s="100" t="e">
        <f t="shared" si="2"/>
        <v>#DIV/0!</v>
      </c>
      <c r="M13" s="104"/>
      <c r="N13" s="96"/>
    </row>
    <row r="14" spans="1:14" ht="21.95" customHeight="1">
      <c r="A14" s="105" t="s">
        <v>91</v>
      </c>
      <c r="B14" s="106">
        <f>+B13-B12</f>
        <v>0</v>
      </c>
      <c r="C14" s="107" t="e">
        <f>+SQRT(C12^2+C13^2)</f>
        <v>#DIV/0!</v>
      </c>
      <c r="D14" s="108" t="e">
        <f t="shared" si="0"/>
        <v>#DIV/0!</v>
      </c>
      <c r="E14" s="109" t="e">
        <f>(1-NORMDIST(ABS(B14/C14),0,1,1))*2</f>
        <v>#DIV/0!</v>
      </c>
      <c r="F14" s="106">
        <f>+F13-F12</f>
        <v>0</v>
      </c>
      <c r="G14" s="107" t="e">
        <f>+SQRT(G12^2+G13^2)</f>
        <v>#DIV/0!</v>
      </c>
      <c r="H14" s="108" t="e">
        <f t="shared" si="1"/>
        <v>#DIV/0!</v>
      </c>
      <c r="I14" s="109" t="e">
        <f>(1-NORMDIST(ABS(F14/G14),0,1,1))*2</f>
        <v>#DIV/0!</v>
      </c>
      <c r="J14" s="106">
        <f>+J13-J12</f>
        <v>0</v>
      </c>
      <c r="K14" s="107" t="e">
        <f>+SQRT(K12^2+K13^2)</f>
        <v>#DIV/0!</v>
      </c>
      <c r="L14" s="108" t="e">
        <f t="shared" si="2"/>
        <v>#DIV/0!</v>
      </c>
      <c r="M14" s="110" t="e">
        <f>(1-NORMDIST(ABS(J14/K14),0,1,1))*2</f>
        <v>#DIV/0!</v>
      </c>
      <c r="N14" s="96"/>
    </row>
    <row r="15" spans="1:14" ht="21.95" customHeight="1">
      <c r="A15" s="111" t="s">
        <v>92</v>
      </c>
      <c r="B15" s="112">
        <f>+C33</f>
        <v>0</v>
      </c>
      <c r="C15" s="113" t="e">
        <f>+E33</f>
        <v>#DIV/0!</v>
      </c>
      <c r="D15" s="114" t="e">
        <f t="shared" si="0"/>
        <v>#DIV/0!</v>
      </c>
      <c r="E15" s="92"/>
      <c r="F15" s="115">
        <f>+C40</f>
        <v>0</v>
      </c>
      <c r="G15" s="116" t="e">
        <f>+E40</f>
        <v>#DIV/0!</v>
      </c>
      <c r="H15" s="114" t="e">
        <f t="shared" si="1"/>
        <v>#DIV/0!</v>
      </c>
      <c r="I15" s="92"/>
      <c r="J15" s="115">
        <f>+C43</f>
        <v>0</v>
      </c>
      <c r="K15" s="116" t="e">
        <f>+E43</f>
        <v>#DIV/0!</v>
      </c>
      <c r="L15" s="114" t="e">
        <f t="shared" si="2"/>
        <v>#DIV/0!</v>
      </c>
      <c r="M15" s="95"/>
      <c r="N15" s="96"/>
    </row>
    <row r="16" spans="1:14" ht="21.95" customHeight="1">
      <c r="A16" s="97" t="s">
        <v>93</v>
      </c>
      <c r="B16" s="117">
        <f>+C54</f>
        <v>0</v>
      </c>
      <c r="C16" s="118" t="e">
        <f>+E54</f>
        <v>#DIV/0!</v>
      </c>
      <c r="D16" s="119" t="e">
        <f t="shared" si="0"/>
        <v>#DIV/0!</v>
      </c>
      <c r="E16" s="101"/>
      <c r="F16" s="120">
        <f>+C61</f>
        <v>0</v>
      </c>
      <c r="G16" s="121" t="e">
        <f>+E61</f>
        <v>#DIV/0!</v>
      </c>
      <c r="H16" s="119" t="e">
        <f t="shared" si="1"/>
        <v>#DIV/0!</v>
      </c>
      <c r="I16" s="101"/>
      <c r="J16" s="120">
        <f>+C64</f>
        <v>0</v>
      </c>
      <c r="K16" s="121" t="e">
        <f>+E64</f>
        <v>#DIV/0!</v>
      </c>
      <c r="L16" s="119" t="e">
        <f t="shared" si="2"/>
        <v>#DIV/0!</v>
      </c>
      <c r="M16" s="104"/>
      <c r="N16" s="96"/>
    </row>
    <row r="17" spans="1:14" ht="21.95" customHeight="1" thickBot="1">
      <c r="A17" s="122" t="s">
        <v>91</v>
      </c>
      <c r="B17" s="123">
        <f>+B16-B15</f>
        <v>0</v>
      </c>
      <c r="C17" s="124" t="e">
        <f>+SQRT(C15^2+C16^2)</f>
        <v>#DIV/0!</v>
      </c>
      <c r="D17" s="125" t="e">
        <f t="shared" si="0"/>
        <v>#DIV/0!</v>
      </c>
      <c r="E17" s="126" t="e">
        <f>(1-NORMDIST(ABS(B17/C17),0,1,1))*2</f>
        <v>#DIV/0!</v>
      </c>
      <c r="F17" s="123">
        <f>+F16-F15</f>
        <v>0</v>
      </c>
      <c r="G17" s="124" t="e">
        <f>+SQRT(G15^2+G16^2)</f>
        <v>#DIV/0!</v>
      </c>
      <c r="H17" s="125" t="e">
        <f t="shared" si="1"/>
        <v>#DIV/0!</v>
      </c>
      <c r="I17" s="126" t="e">
        <f>(1-NORMDIST(ABS(F17/G17),0,1,1))*2</f>
        <v>#DIV/0!</v>
      </c>
      <c r="J17" s="123">
        <f>+J16-J15</f>
        <v>0</v>
      </c>
      <c r="K17" s="124" t="e">
        <f>+SQRT(K15^2+K16^2)</f>
        <v>#DIV/0!</v>
      </c>
      <c r="L17" s="125" t="e">
        <f t="shared" si="2"/>
        <v>#DIV/0!</v>
      </c>
      <c r="M17" s="127" t="e">
        <f>(1-NORMDIST(ABS(J17/K17),0,1,1))*2</f>
        <v>#DIV/0!</v>
      </c>
      <c r="N17" s="96"/>
    </row>
    <row r="18" spans="1:14" ht="80.099999999999994" customHeight="1">
      <c r="A18" s="66" t="s">
        <v>94</v>
      </c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1"/>
      <c r="N18" s="65"/>
    </row>
    <row r="19" spans="1:14" ht="80.099999999999994" customHeight="1">
      <c r="A19" s="67" t="s">
        <v>95</v>
      </c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4"/>
      <c r="N19" s="65"/>
    </row>
    <row r="20" spans="1:14" ht="51" customHeight="1" thickBot="1">
      <c r="A20" s="68" t="s">
        <v>96</v>
      </c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7"/>
      <c r="N20" s="65"/>
    </row>
    <row r="21" spans="1:14" ht="21.95" customHeight="1">
      <c r="A21" s="128" t="s">
        <v>97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4" ht="21.95" customHeight="1">
      <c r="A22" s="128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4" ht="32.25" customHeight="1">
      <c r="A23" s="264" t="s">
        <v>98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</row>
    <row r="24" spans="1:14" ht="18.75">
      <c r="A24" s="50" t="s">
        <v>71</v>
      </c>
    </row>
    <row r="25" spans="1:14" ht="18" thickBot="1">
      <c r="A25" s="9" t="s">
        <v>12</v>
      </c>
    </row>
    <row r="26" spans="1:14" ht="30" thickBot="1">
      <c r="A26" s="6" t="s">
        <v>9</v>
      </c>
      <c r="B26" s="51" t="s">
        <v>72</v>
      </c>
      <c r="C26" s="52" t="s">
        <v>0</v>
      </c>
      <c r="D26" s="51" t="s">
        <v>73</v>
      </c>
      <c r="E26" s="52" t="s">
        <v>74</v>
      </c>
      <c r="F26" s="6" t="s">
        <v>10</v>
      </c>
      <c r="G26" s="6" t="s">
        <v>8</v>
      </c>
      <c r="H26" s="6" t="s">
        <v>18</v>
      </c>
    </row>
    <row r="27" spans="1:14">
      <c r="A27" s="7" t="s">
        <v>5</v>
      </c>
      <c r="C27" s="2"/>
      <c r="E27" s="2"/>
      <c r="F27" s="2"/>
      <c r="G27" s="2"/>
      <c r="H27" s="2"/>
    </row>
    <row r="28" spans="1:14">
      <c r="A28" s="1" t="s">
        <v>139</v>
      </c>
      <c r="B28" s="53"/>
      <c r="C28" s="12"/>
      <c r="D28" s="12"/>
      <c r="E28" s="54" t="e">
        <f>D28/SQRT(B28)</f>
        <v>#DIV/0!</v>
      </c>
      <c r="F28" s="55">
        <v>18378</v>
      </c>
      <c r="G28" s="2">
        <f>+C28*F28</f>
        <v>0</v>
      </c>
      <c r="H28" s="2" t="e">
        <f>+E28*E28*F28*F28</f>
        <v>#DIV/0!</v>
      </c>
      <c r="I28" s="129"/>
    </row>
    <row r="29" spans="1:14">
      <c r="A29" s="1" t="s">
        <v>140</v>
      </c>
      <c r="B29" s="53"/>
      <c r="C29" s="12"/>
      <c r="D29" s="12"/>
      <c r="E29" s="54" t="e">
        <f>D29/SQRT(B29)</f>
        <v>#DIV/0!</v>
      </c>
      <c r="F29" s="55">
        <v>34297</v>
      </c>
      <c r="G29" s="2">
        <f>+C29*F29</f>
        <v>0</v>
      </c>
      <c r="H29" s="2" t="e">
        <f>+E29*E29*F29*F29</f>
        <v>#DIV/0!</v>
      </c>
      <c r="I29" s="129"/>
    </row>
    <row r="30" spans="1:14">
      <c r="A30" s="1" t="s">
        <v>141</v>
      </c>
      <c r="B30" s="53"/>
      <c r="C30" s="12"/>
      <c r="D30" s="12"/>
      <c r="E30" s="54" t="e">
        <f>D30/SQRT(B30)</f>
        <v>#DIV/0!</v>
      </c>
      <c r="F30" s="55">
        <v>35029</v>
      </c>
      <c r="G30" s="2">
        <f>+C30*F30</f>
        <v>0</v>
      </c>
      <c r="H30" s="2" t="e">
        <f>+E30*E30*F30*F30</f>
        <v>#DIV/0!</v>
      </c>
      <c r="I30" s="129"/>
    </row>
    <row r="31" spans="1:14">
      <c r="A31" s="1" t="s">
        <v>142</v>
      </c>
      <c r="B31" s="53"/>
      <c r="C31" s="12"/>
      <c r="D31" s="12"/>
      <c r="E31" s="54" t="e">
        <f>D31/SQRT(B31)</f>
        <v>#DIV/0!</v>
      </c>
      <c r="F31" s="55">
        <v>18239</v>
      </c>
      <c r="G31" s="2">
        <f>+C31*F31</f>
        <v>0</v>
      </c>
      <c r="H31" s="2" t="e">
        <f>+E31*E31*F31*F31</f>
        <v>#DIV/0!</v>
      </c>
      <c r="I31" s="129"/>
    </row>
    <row r="32" spans="1:14">
      <c r="A32" s="1" t="s">
        <v>143</v>
      </c>
      <c r="B32" s="53"/>
      <c r="C32" s="12"/>
      <c r="D32" s="12"/>
      <c r="E32" s="54" t="e">
        <f>D32/SQRT(B32)</f>
        <v>#DIV/0!</v>
      </c>
      <c r="F32" s="2">
        <v>105943</v>
      </c>
      <c r="G32" s="2">
        <f>+SUM(G28:G31)</f>
        <v>0</v>
      </c>
      <c r="H32" s="2" t="e">
        <f>+SUM(H28:H31)</f>
        <v>#DIV/0!</v>
      </c>
    </row>
    <row r="33" spans="1:8">
      <c r="A33" s="3" t="s">
        <v>4</v>
      </c>
      <c r="B33" s="56" t="s">
        <v>123</v>
      </c>
      <c r="C33" s="13">
        <f>+G32/F32</f>
        <v>0</v>
      </c>
      <c r="D33" s="57" t="s">
        <v>123</v>
      </c>
      <c r="E33" s="13" t="e">
        <f>SQRT(H32)/F32</f>
        <v>#DIV/0!</v>
      </c>
      <c r="F33" s="2"/>
      <c r="G33" s="2"/>
      <c r="H33" s="2"/>
    </row>
    <row r="34" spans="1:8">
      <c r="A34" s="7" t="s">
        <v>6</v>
      </c>
      <c r="B34" s="58"/>
      <c r="C34" s="14"/>
      <c r="D34" s="14"/>
      <c r="E34" s="14"/>
      <c r="F34" s="2"/>
      <c r="G34" s="2"/>
      <c r="H34" s="2"/>
    </row>
    <row r="35" spans="1:8">
      <c r="A35" s="1" t="s">
        <v>13</v>
      </c>
      <c r="B35" s="53"/>
      <c r="C35" s="12"/>
      <c r="D35" s="12"/>
      <c r="E35" s="54" t="e">
        <f>D35/SQRT(B35)</f>
        <v>#DIV/0!</v>
      </c>
      <c r="F35" s="55">
        <v>18378</v>
      </c>
      <c r="G35" s="55">
        <f>+C35*F35</f>
        <v>0</v>
      </c>
      <c r="H35" s="55" t="e">
        <f>+E35*E35*F35*F35</f>
        <v>#DIV/0!</v>
      </c>
    </row>
    <row r="36" spans="1:8">
      <c r="A36" s="1" t="s">
        <v>14</v>
      </c>
      <c r="B36" s="53"/>
      <c r="C36" s="12"/>
      <c r="D36" s="12"/>
      <c r="E36" s="54" t="e">
        <f>D36/SQRT(B36)</f>
        <v>#DIV/0!</v>
      </c>
      <c r="F36" s="55">
        <v>34297</v>
      </c>
      <c r="G36" s="55">
        <f>+C36*F36</f>
        <v>0</v>
      </c>
      <c r="H36" s="55" t="e">
        <f>+E36*E36*F36*F36</f>
        <v>#DIV/0!</v>
      </c>
    </row>
    <row r="37" spans="1:8">
      <c r="A37" s="1" t="s">
        <v>15</v>
      </c>
      <c r="B37" s="53"/>
      <c r="C37" s="12"/>
      <c r="D37" s="12"/>
      <c r="E37" s="54" t="e">
        <f>D37/SQRT(B37)</f>
        <v>#DIV/0!</v>
      </c>
      <c r="F37" s="55">
        <v>35029</v>
      </c>
      <c r="G37" s="55">
        <f>+C37*F37</f>
        <v>0</v>
      </c>
      <c r="H37" s="55" t="e">
        <f>+E37*E37*F37*F37</f>
        <v>#DIV/0!</v>
      </c>
    </row>
    <row r="38" spans="1:8">
      <c r="A38" s="1" t="s">
        <v>2</v>
      </c>
      <c r="B38" s="53"/>
      <c r="C38" s="12"/>
      <c r="D38" s="12"/>
      <c r="E38" s="54" t="e">
        <f>D38/SQRT(B38)</f>
        <v>#DIV/0!</v>
      </c>
      <c r="F38" s="55">
        <v>18239</v>
      </c>
      <c r="G38" s="55">
        <f>+C38*F38</f>
        <v>0</v>
      </c>
      <c r="H38" s="55" t="e">
        <f>+E38*E38*F38*F38</f>
        <v>#DIV/0!</v>
      </c>
    </row>
    <row r="39" spans="1:8">
      <c r="A39" s="1" t="s">
        <v>3</v>
      </c>
      <c r="B39" s="53"/>
      <c r="C39" s="12"/>
      <c r="D39" s="12"/>
      <c r="E39" s="54" t="e">
        <f>D39/SQRT(B39)</f>
        <v>#DIV/0!</v>
      </c>
      <c r="F39" s="55">
        <v>105943</v>
      </c>
      <c r="G39" s="55">
        <f>+SUM(G35:G38)</f>
        <v>0</v>
      </c>
      <c r="H39" s="55" t="e">
        <f>+SUM(H35:H38)</f>
        <v>#DIV/0!</v>
      </c>
    </row>
    <row r="40" spans="1:8">
      <c r="A40" s="3" t="s">
        <v>4</v>
      </c>
      <c r="B40" s="56" t="s">
        <v>123</v>
      </c>
      <c r="C40" s="13">
        <f>+G39/F39</f>
        <v>0</v>
      </c>
      <c r="D40" s="57" t="s">
        <v>123</v>
      </c>
      <c r="E40" s="13" t="e">
        <f>SQRT(H39)/F39</f>
        <v>#DIV/0!</v>
      </c>
      <c r="F40" s="1"/>
      <c r="G40" s="1"/>
      <c r="H40" s="1"/>
    </row>
    <row r="41" spans="1:8">
      <c r="A41" s="8" t="s">
        <v>11</v>
      </c>
      <c r="B41" s="59"/>
      <c r="F41" s="1"/>
      <c r="G41" s="1"/>
      <c r="H41" s="1"/>
    </row>
    <row r="42" spans="1:8">
      <c r="A42" s="1" t="s">
        <v>124</v>
      </c>
      <c r="B42" s="53"/>
      <c r="C42" s="12"/>
      <c r="D42" s="145"/>
      <c r="E42" s="54" t="e">
        <f>D42/SQRT(B42)</f>
        <v>#DIV/0!</v>
      </c>
      <c r="F42" s="1"/>
      <c r="G42" s="1"/>
      <c r="H42" s="1"/>
    </row>
    <row r="43" spans="1:8" ht="14.25" thickBot="1">
      <c r="A43" s="4" t="s">
        <v>7</v>
      </c>
      <c r="B43" s="60" t="s">
        <v>125</v>
      </c>
      <c r="C43" s="15">
        <f>+(G32+G39)/(F32+F39)</f>
        <v>0</v>
      </c>
      <c r="D43" s="61" t="s">
        <v>125</v>
      </c>
      <c r="E43" s="15" t="e">
        <f>+SQRT(H32+H39)/(F32+F39)</f>
        <v>#DIV/0!</v>
      </c>
      <c r="F43" s="5"/>
      <c r="G43" s="5"/>
      <c r="H43" s="5"/>
    </row>
    <row r="45" spans="1:8" ht="18.75">
      <c r="A45" s="50" t="s">
        <v>67</v>
      </c>
    </row>
    <row r="46" spans="1:8" ht="18" thickBot="1">
      <c r="A46" s="9" t="s">
        <v>12</v>
      </c>
    </row>
    <row r="47" spans="1:8" ht="30" thickBot="1">
      <c r="A47" s="6" t="s">
        <v>9</v>
      </c>
      <c r="B47" s="51" t="s">
        <v>72</v>
      </c>
      <c r="C47" s="52" t="s">
        <v>0</v>
      </c>
      <c r="D47" s="51" t="s">
        <v>73</v>
      </c>
      <c r="E47" s="52" t="s">
        <v>74</v>
      </c>
      <c r="F47" s="6" t="s">
        <v>10</v>
      </c>
      <c r="G47" s="6" t="s">
        <v>8</v>
      </c>
      <c r="H47" s="6" t="s">
        <v>18</v>
      </c>
    </row>
    <row r="48" spans="1:8">
      <c r="A48" s="7" t="s">
        <v>5</v>
      </c>
      <c r="C48" s="2"/>
      <c r="E48" s="2"/>
      <c r="F48" s="2"/>
      <c r="G48" s="2"/>
      <c r="H48" s="2"/>
    </row>
    <row r="49" spans="1:8">
      <c r="A49" s="1" t="s">
        <v>139</v>
      </c>
      <c r="B49" s="53"/>
      <c r="C49" s="12"/>
      <c r="D49" s="12"/>
      <c r="E49" s="54" t="e">
        <f>D49/SQRT(B49)</f>
        <v>#DIV/0!</v>
      </c>
      <c r="F49" s="55">
        <v>18378</v>
      </c>
      <c r="G49" s="2">
        <f>+C49*F49</f>
        <v>0</v>
      </c>
      <c r="H49" s="2" t="e">
        <f>+E49*E49*F49*F49</f>
        <v>#DIV/0!</v>
      </c>
    </row>
    <row r="50" spans="1:8">
      <c r="A50" s="1" t="s">
        <v>140</v>
      </c>
      <c r="B50" s="53"/>
      <c r="C50" s="12"/>
      <c r="D50" s="12"/>
      <c r="E50" s="54" t="e">
        <f>D50/SQRT(B50)</f>
        <v>#DIV/0!</v>
      </c>
      <c r="F50" s="55">
        <v>34297</v>
      </c>
      <c r="G50" s="2">
        <f>+C50*F50</f>
        <v>0</v>
      </c>
      <c r="H50" s="2" t="e">
        <f>+E50*E50*F50*F50</f>
        <v>#DIV/0!</v>
      </c>
    </row>
    <row r="51" spans="1:8">
      <c r="A51" s="1" t="s">
        <v>141</v>
      </c>
      <c r="B51" s="53"/>
      <c r="C51" s="12"/>
      <c r="D51" s="12"/>
      <c r="E51" s="54" t="e">
        <f>D51/SQRT(B51)</f>
        <v>#DIV/0!</v>
      </c>
      <c r="F51" s="55">
        <v>35029</v>
      </c>
      <c r="G51" s="2">
        <f>+C51*F51</f>
        <v>0</v>
      </c>
      <c r="H51" s="2" t="e">
        <f>+E51*E51*F51*F51</f>
        <v>#DIV/0!</v>
      </c>
    </row>
    <row r="52" spans="1:8">
      <c r="A52" s="1" t="s">
        <v>142</v>
      </c>
      <c r="B52" s="53"/>
      <c r="C52" s="12"/>
      <c r="D52" s="12"/>
      <c r="E52" s="54" t="e">
        <f>D52/SQRT(B52)</f>
        <v>#DIV/0!</v>
      </c>
      <c r="F52" s="55">
        <v>18239</v>
      </c>
      <c r="G52" s="2">
        <f>+C52*F52</f>
        <v>0</v>
      </c>
      <c r="H52" s="2" t="e">
        <f>+E52*E52*F52*F52</f>
        <v>#DIV/0!</v>
      </c>
    </row>
    <row r="53" spans="1:8">
      <c r="A53" s="1" t="s">
        <v>143</v>
      </c>
      <c r="B53" s="53"/>
      <c r="C53" s="12"/>
      <c r="D53" s="12"/>
      <c r="E53" s="54" t="e">
        <f>D53/SQRT(B53)</f>
        <v>#DIV/0!</v>
      </c>
      <c r="F53" s="2">
        <v>105943</v>
      </c>
      <c r="G53" s="2">
        <f>+SUM(G49:G52)</f>
        <v>0</v>
      </c>
      <c r="H53" s="2" t="e">
        <f>+SUM(H49:H52)</f>
        <v>#DIV/0!</v>
      </c>
    </row>
    <row r="54" spans="1:8">
      <c r="A54" s="3" t="s">
        <v>4</v>
      </c>
      <c r="B54" s="56" t="s">
        <v>123</v>
      </c>
      <c r="C54" s="13">
        <f>+G53/F53</f>
        <v>0</v>
      </c>
      <c r="D54" s="57" t="s">
        <v>123</v>
      </c>
      <c r="E54" s="13" t="e">
        <f>SQRT(H53)/F53</f>
        <v>#DIV/0!</v>
      </c>
      <c r="F54" s="2"/>
      <c r="G54" s="2"/>
      <c r="H54" s="2"/>
    </row>
    <row r="55" spans="1:8">
      <c r="A55" s="7" t="s">
        <v>6</v>
      </c>
      <c r="B55" s="58"/>
      <c r="C55" s="14"/>
      <c r="D55" s="14"/>
      <c r="E55" s="48"/>
      <c r="F55" s="2"/>
      <c r="G55" s="2"/>
      <c r="H55" s="2"/>
    </row>
    <row r="56" spans="1:8">
      <c r="A56" s="1" t="s">
        <v>13</v>
      </c>
      <c r="B56" s="53"/>
      <c r="C56" s="12"/>
      <c r="D56" s="12"/>
      <c r="E56" s="54" t="e">
        <f>D56/SQRT(B56)</f>
        <v>#DIV/0!</v>
      </c>
      <c r="F56" s="55">
        <v>18378</v>
      </c>
      <c r="G56" s="55">
        <f>+C56*F56</f>
        <v>0</v>
      </c>
      <c r="H56" s="55" t="e">
        <f>+E56*E56*F56*F56</f>
        <v>#DIV/0!</v>
      </c>
    </row>
    <row r="57" spans="1:8">
      <c r="A57" s="1" t="s">
        <v>14</v>
      </c>
      <c r="B57" s="53"/>
      <c r="C57" s="12"/>
      <c r="D57" s="12"/>
      <c r="E57" s="54" t="e">
        <f>D57/SQRT(B57)</f>
        <v>#DIV/0!</v>
      </c>
      <c r="F57" s="55">
        <v>34297</v>
      </c>
      <c r="G57" s="55">
        <f>+C57*F57</f>
        <v>0</v>
      </c>
      <c r="H57" s="55" t="e">
        <f>+E57*E57*F57*F57</f>
        <v>#DIV/0!</v>
      </c>
    </row>
    <row r="58" spans="1:8">
      <c r="A58" s="1" t="s">
        <v>15</v>
      </c>
      <c r="B58" s="53"/>
      <c r="C58" s="12"/>
      <c r="D58" s="12"/>
      <c r="E58" s="54" t="e">
        <f>D58/SQRT(B58)</f>
        <v>#DIV/0!</v>
      </c>
      <c r="F58" s="55">
        <v>35029</v>
      </c>
      <c r="G58" s="55">
        <f>+C58*F58</f>
        <v>0</v>
      </c>
      <c r="H58" s="55" t="e">
        <f>+E58*E58*F58*F58</f>
        <v>#DIV/0!</v>
      </c>
    </row>
    <row r="59" spans="1:8">
      <c r="A59" s="1" t="s">
        <v>2</v>
      </c>
      <c r="B59" s="53"/>
      <c r="C59" s="12"/>
      <c r="D59" s="12"/>
      <c r="E59" s="54" t="e">
        <f>D59/SQRT(B59)</f>
        <v>#DIV/0!</v>
      </c>
      <c r="F59" s="55">
        <v>18239</v>
      </c>
      <c r="G59" s="55">
        <f>+C59*F59</f>
        <v>0</v>
      </c>
      <c r="H59" s="55" t="e">
        <f>+E59*E59*F59*F59</f>
        <v>#DIV/0!</v>
      </c>
    </row>
    <row r="60" spans="1:8">
      <c r="A60" s="1" t="s">
        <v>3</v>
      </c>
      <c r="B60" s="53"/>
      <c r="C60" s="12"/>
      <c r="D60" s="12"/>
      <c r="E60" s="54" t="e">
        <f>D60/SQRT(B60)</f>
        <v>#DIV/0!</v>
      </c>
      <c r="F60" s="55">
        <v>105943</v>
      </c>
      <c r="G60" s="55">
        <f>+SUM(G56:G59)</f>
        <v>0</v>
      </c>
      <c r="H60" s="55" t="e">
        <f>+SUM(H56:H59)</f>
        <v>#DIV/0!</v>
      </c>
    </row>
    <row r="61" spans="1:8">
      <c r="A61" s="3" t="s">
        <v>4</v>
      </c>
      <c r="B61" s="56" t="s">
        <v>123</v>
      </c>
      <c r="C61" s="13">
        <f>+G60/F60</f>
        <v>0</v>
      </c>
      <c r="D61" s="57" t="s">
        <v>123</v>
      </c>
      <c r="E61" s="13" t="e">
        <f>SQRT(H60)/F60</f>
        <v>#DIV/0!</v>
      </c>
      <c r="F61" s="1"/>
      <c r="G61" s="1"/>
      <c r="H61" s="1"/>
    </row>
    <row r="62" spans="1:8">
      <c r="A62" s="8" t="s">
        <v>11</v>
      </c>
      <c r="B62" s="59"/>
      <c r="E62" s="130"/>
      <c r="F62" s="1"/>
      <c r="G62" s="1"/>
      <c r="H62" s="1"/>
    </row>
    <row r="63" spans="1:8">
      <c r="A63" s="1" t="s">
        <v>124</v>
      </c>
      <c r="B63" s="53"/>
      <c r="C63" s="12"/>
      <c r="D63" s="145"/>
      <c r="E63" s="54" t="e">
        <f>D63/SQRT(B63)</f>
        <v>#DIV/0!</v>
      </c>
      <c r="F63" s="1"/>
      <c r="G63" s="1"/>
      <c r="H63" s="1"/>
    </row>
    <row r="64" spans="1:8" ht="14.25" thickBot="1">
      <c r="A64" s="4" t="s">
        <v>7</v>
      </c>
      <c r="B64" s="60" t="s">
        <v>125</v>
      </c>
      <c r="C64" s="15">
        <f>+(G53+G60)/(F53+F60)</f>
        <v>0</v>
      </c>
      <c r="D64" s="61" t="s">
        <v>125</v>
      </c>
      <c r="E64" s="15" t="e">
        <f>+SQRT(H53+H60)/(F53+F60)</f>
        <v>#DIV/0!</v>
      </c>
      <c r="F64" s="5"/>
      <c r="G64" s="5"/>
      <c r="H64" s="5"/>
    </row>
  </sheetData>
  <mergeCells count="10">
    <mergeCell ref="A23:L23"/>
    <mergeCell ref="B3:M3"/>
    <mergeCell ref="B4:M4"/>
    <mergeCell ref="B5:M5"/>
    <mergeCell ref="B6:M6"/>
    <mergeCell ref="B20:M20"/>
    <mergeCell ref="B19:M19"/>
    <mergeCell ref="B7:M7"/>
    <mergeCell ref="B8:M8"/>
    <mergeCell ref="B18:M18"/>
  </mergeCells>
  <phoneticPr fontId="2"/>
  <pageMargins left="0.75" right="0.75" top="1" bottom="1" header="0.51200000000000001" footer="0.51200000000000001"/>
  <pageSetup paperSize="9" scale="65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C3" sqref="C3"/>
    </sheetView>
  </sheetViews>
  <sheetFormatPr defaultRowHeight="13.5"/>
  <sheetData>
    <row r="1" spans="1:10" ht="20.100000000000001" customHeight="1">
      <c r="A1" t="s">
        <v>341</v>
      </c>
    </row>
    <row r="2" spans="1:10" ht="20.100000000000001" customHeight="1" thickBot="1"/>
    <row r="3" spans="1:10" ht="30" customHeight="1" thickBot="1">
      <c r="A3" s="49"/>
      <c r="B3" s="51" t="s">
        <v>72</v>
      </c>
      <c r="C3" s="143" t="s">
        <v>56</v>
      </c>
      <c r="D3" s="143" t="s">
        <v>122</v>
      </c>
      <c r="E3" s="143" t="s">
        <v>1</v>
      </c>
      <c r="F3" s="278" t="s">
        <v>339</v>
      </c>
      <c r="G3" s="279"/>
      <c r="H3" s="278" t="s">
        <v>338</v>
      </c>
      <c r="I3" s="279"/>
      <c r="J3" s="144"/>
    </row>
    <row r="4" spans="1:10" ht="20.100000000000001" customHeight="1">
      <c r="A4" s="1" t="s">
        <v>121</v>
      </c>
      <c r="B4" s="53">
        <v>3549</v>
      </c>
      <c r="C4" s="142">
        <v>23.24</v>
      </c>
      <c r="D4" s="142">
        <v>3.3</v>
      </c>
      <c r="E4" s="13">
        <f>D4/SQRT(B4)</f>
        <v>5.5393772136828834E-2</v>
      </c>
      <c r="F4" s="13">
        <f>+C4-1.96*E4</f>
        <v>23.131428206611815</v>
      </c>
      <c r="G4" s="13">
        <f>+C4+1.96*E4</f>
        <v>23.348571793388182</v>
      </c>
      <c r="H4" s="201">
        <f>+C4-_xlfn.T.INV(0.975,B4-1)*E4</f>
        <v>23.131393151720093</v>
      </c>
      <c r="I4" s="201">
        <f>+C4+_xlfn.T.INV(0.975,B4-1)*E4</f>
        <v>23.348606848279903</v>
      </c>
    </row>
    <row r="5" spans="1:10" ht="20.100000000000001" customHeight="1">
      <c r="A5" s="1" t="s">
        <v>32</v>
      </c>
      <c r="B5" s="140">
        <v>3361</v>
      </c>
      <c r="C5" s="136">
        <v>0.27800000000000002</v>
      </c>
      <c r="D5" s="141" t="s">
        <v>77</v>
      </c>
      <c r="E5" s="139">
        <f>SQRT(C5*(1-C5)/B5)</f>
        <v>7.7278154229348103E-3</v>
      </c>
      <c r="F5" s="139">
        <f>+C5-1.96*E5</f>
        <v>0.26285348177104778</v>
      </c>
      <c r="G5" s="139">
        <f>+C5+1.96*E5</f>
        <v>0.29314651822895227</v>
      </c>
    </row>
    <row r="6" spans="1:10" ht="20.100000000000001" customHeight="1">
      <c r="A6" t="s">
        <v>46</v>
      </c>
    </row>
    <row r="7" spans="1:10" ht="20.100000000000001" customHeight="1">
      <c r="A7" t="s">
        <v>119</v>
      </c>
    </row>
    <row r="8" spans="1:10" ht="22.5" customHeight="1"/>
  </sheetData>
  <mergeCells count="2">
    <mergeCell ref="F3:G3"/>
    <mergeCell ref="H3:I3"/>
  </mergeCells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"/>
  <sheetViews>
    <sheetView workbookViewId="0">
      <selection activeCell="M4" sqref="M4"/>
    </sheetView>
  </sheetViews>
  <sheetFormatPr defaultRowHeight="13.5"/>
  <cols>
    <col min="1" max="1" width="13.375" customWidth="1"/>
    <col min="2" max="3" width="10.625" customWidth="1"/>
    <col min="4" max="4" width="1.625" customWidth="1"/>
    <col min="5" max="5" width="10.625" customWidth="1"/>
  </cols>
  <sheetData>
    <row r="1" spans="1:12" ht="20.100000000000001" customHeight="1" thickBot="1">
      <c r="A1" t="s">
        <v>65</v>
      </c>
    </row>
    <row r="2" spans="1:12" ht="20.100000000000001" customHeight="1" thickBot="1">
      <c r="A2" s="20"/>
      <c r="B2" s="49" t="s">
        <v>57</v>
      </c>
      <c r="C2" s="49"/>
      <c r="D2" s="20"/>
      <c r="E2" s="49" t="s">
        <v>58</v>
      </c>
      <c r="F2" s="49"/>
      <c r="G2" s="20"/>
      <c r="H2" s="20"/>
      <c r="I2" s="280" t="s">
        <v>68</v>
      </c>
      <c r="J2" s="280"/>
      <c r="K2" s="20"/>
      <c r="L2" s="20"/>
    </row>
    <row r="3" spans="1:12" ht="20.100000000000001" customHeight="1" thickBot="1">
      <c r="A3" s="5"/>
      <c r="B3" s="47" t="s">
        <v>56</v>
      </c>
      <c r="C3" s="47" t="s">
        <v>1</v>
      </c>
      <c r="D3" s="47"/>
      <c r="E3" s="47" t="s">
        <v>56</v>
      </c>
      <c r="F3" s="47" t="s">
        <v>1</v>
      </c>
      <c r="G3" s="47" t="s">
        <v>61</v>
      </c>
      <c r="H3" s="47" t="s">
        <v>1</v>
      </c>
      <c r="I3" s="47" t="s">
        <v>69</v>
      </c>
      <c r="J3" s="47" t="s">
        <v>70</v>
      </c>
      <c r="K3" s="47" t="s">
        <v>59</v>
      </c>
      <c r="L3" s="47" t="s">
        <v>60</v>
      </c>
    </row>
    <row r="4" spans="1:12" ht="20.100000000000001" customHeight="1">
      <c r="A4" s="20" t="s">
        <v>63</v>
      </c>
      <c r="B4" s="132">
        <v>23.24</v>
      </c>
      <c r="C4" s="132">
        <v>3.3</v>
      </c>
      <c r="D4" s="132"/>
      <c r="E4" s="132">
        <v>23.857689330114756</v>
      </c>
      <c r="F4" s="132">
        <v>8.199657739370228E-2</v>
      </c>
      <c r="G4" s="133">
        <f>+E4-B4</f>
        <v>0.61768933011475724</v>
      </c>
      <c r="H4" s="134">
        <f>SQRT(C4^2+F4^2)</f>
        <v>3.3010185456468251</v>
      </c>
      <c r="I4" s="134">
        <f>+G4-1.96*H4</f>
        <v>-5.8523070193530193</v>
      </c>
      <c r="J4" s="134">
        <f>+G4+1.96*H4</f>
        <v>7.0876856795825338</v>
      </c>
      <c r="K4" s="134">
        <f>+G4/H4</f>
        <v>0.18712083000240243</v>
      </c>
      <c r="L4" s="135">
        <f>2*(1-NORMDIST(ABS(K4),0,1,1))</f>
        <v>0.85156589662407134</v>
      </c>
    </row>
    <row r="5" spans="1:12" ht="20.100000000000001" customHeight="1">
      <c r="A5" s="1" t="s">
        <v>62</v>
      </c>
      <c r="B5" s="136">
        <v>0.29197217344351889</v>
      </c>
      <c r="C5" s="136">
        <v>1.0056547961804368E-2</v>
      </c>
      <c r="D5" s="136"/>
      <c r="E5" s="136">
        <v>0.31756358553292308</v>
      </c>
      <c r="F5" s="136">
        <v>1.0844553507417764E-2</v>
      </c>
      <c r="G5" s="137">
        <f>+E5-B5</f>
        <v>2.5591412089404186E-2</v>
      </c>
      <c r="H5" s="32">
        <f>SQRT(C5^2+F5^2)</f>
        <v>1.4789810603361981E-2</v>
      </c>
      <c r="I5" s="32">
        <f>+G5-1.96*H5</f>
        <v>-3.3966166931852955E-3</v>
      </c>
      <c r="J5" s="32">
        <f>+G5+1.96*H5</f>
        <v>5.4579440871993665E-2</v>
      </c>
      <c r="K5" s="48">
        <f>+G5/H5</f>
        <v>1.7303407579531014</v>
      </c>
      <c r="L5" s="138">
        <f>2*(1-NORMDIST(ABS(K5),0,1,1))</f>
        <v>8.3569411566187579E-2</v>
      </c>
    </row>
    <row r="6" spans="1:12" ht="18" customHeight="1">
      <c r="A6" t="s">
        <v>46</v>
      </c>
    </row>
    <row r="7" spans="1:12" ht="18" customHeight="1">
      <c r="A7" t="s">
        <v>119</v>
      </c>
    </row>
    <row r="8" spans="1:12" ht="18" customHeight="1">
      <c r="A8" t="s">
        <v>64</v>
      </c>
    </row>
  </sheetData>
  <mergeCells count="1">
    <mergeCell ref="I2:J2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"/>
  <sheetViews>
    <sheetView workbookViewId="0"/>
  </sheetViews>
  <sheetFormatPr defaultRowHeight="13.5"/>
  <cols>
    <col min="1" max="1" width="13.375" customWidth="1"/>
    <col min="2" max="4" width="8.625" customWidth="1"/>
    <col min="5" max="5" width="1.625" customWidth="1"/>
    <col min="6" max="8" width="8.625" customWidth="1"/>
    <col min="9" max="9" width="1.625" customWidth="1"/>
    <col min="10" max="10" width="11.625" customWidth="1"/>
    <col min="11" max="11" width="1.625" customWidth="1"/>
    <col min="12" max="13" width="9" customWidth="1"/>
    <col min="14" max="14" width="1.625" customWidth="1"/>
    <col min="18" max="18" width="1.625" customWidth="1"/>
    <col min="19" max="20" width="9" customWidth="1"/>
  </cols>
  <sheetData>
    <row r="1" spans="1:23" ht="20.100000000000001" customHeight="1" thickBot="1">
      <c r="A1" t="s">
        <v>340</v>
      </c>
    </row>
    <row r="2" spans="1:23" ht="20.100000000000001" customHeight="1" thickBot="1">
      <c r="A2" s="20"/>
      <c r="B2" s="49" t="s">
        <v>325</v>
      </c>
      <c r="C2" s="49"/>
      <c r="D2" s="49"/>
      <c r="E2" s="20"/>
      <c r="F2" s="49" t="s">
        <v>326</v>
      </c>
      <c r="G2" s="49"/>
      <c r="H2" s="49"/>
      <c r="I2" s="20"/>
      <c r="J2" s="49" t="str">
        <f>+F2&amp;"-"&amp;B2</f>
        <v>Ｂ群-Ａ群</v>
      </c>
      <c r="K2" s="20"/>
      <c r="L2" s="49" t="s">
        <v>329</v>
      </c>
      <c r="M2" s="49"/>
      <c r="N2" s="20"/>
      <c r="O2" s="49" t="s">
        <v>332</v>
      </c>
      <c r="P2" s="49"/>
      <c r="Q2" s="49"/>
      <c r="R2" s="20"/>
      <c r="S2" s="49" t="s">
        <v>333</v>
      </c>
      <c r="T2" s="49"/>
      <c r="U2" s="49"/>
      <c r="V2" s="49"/>
    </row>
    <row r="3" spans="1:23" ht="20.100000000000001" customHeight="1" thickBot="1">
      <c r="A3" s="189"/>
      <c r="B3" s="188" t="s">
        <v>72</v>
      </c>
      <c r="C3" s="188" t="s">
        <v>335</v>
      </c>
      <c r="D3" s="188" t="s">
        <v>73</v>
      </c>
      <c r="E3" s="190"/>
      <c r="F3" s="188" t="s">
        <v>72</v>
      </c>
      <c r="G3" s="188" t="s">
        <v>335</v>
      </c>
      <c r="H3" s="188" t="s">
        <v>73</v>
      </c>
      <c r="I3" s="188"/>
      <c r="J3" s="188" t="s">
        <v>336</v>
      </c>
      <c r="K3" s="188"/>
      <c r="L3" s="188" t="s">
        <v>330</v>
      </c>
      <c r="M3" s="188" t="s">
        <v>60</v>
      </c>
      <c r="N3" s="188"/>
      <c r="O3" s="188" t="s">
        <v>328</v>
      </c>
      <c r="P3" s="188" t="s">
        <v>334</v>
      </c>
      <c r="Q3" s="190" t="s">
        <v>60</v>
      </c>
      <c r="R3" s="189"/>
      <c r="S3" s="188" t="s">
        <v>328</v>
      </c>
      <c r="T3" s="188" t="s">
        <v>331</v>
      </c>
      <c r="U3" s="188" t="s">
        <v>334</v>
      </c>
      <c r="V3" s="190" t="s">
        <v>60</v>
      </c>
    </row>
    <row r="4" spans="1:23" ht="20.100000000000001" customHeight="1">
      <c r="A4" s="191" t="s">
        <v>324</v>
      </c>
      <c r="B4" s="192">
        <v>10</v>
      </c>
      <c r="C4" s="192">
        <v>3.1E-2</v>
      </c>
      <c r="D4" s="192">
        <v>0.75649999999999995</v>
      </c>
      <c r="E4" s="192"/>
      <c r="F4" s="192">
        <v>15</v>
      </c>
      <c r="G4" s="192">
        <v>-0.1094</v>
      </c>
      <c r="H4" s="192">
        <v>0.94799999999999995</v>
      </c>
      <c r="I4" s="193"/>
      <c r="J4" s="199">
        <f>+G4-C4</f>
        <v>-0.1404</v>
      </c>
      <c r="K4" s="194"/>
      <c r="L4" s="200">
        <f>IF(D4&gt;H4,D4^2/H4^2,H4^2/D4^2)</f>
        <v>1.5703585012727326</v>
      </c>
      <c r="M4" s="204">
        <f>_xlfn.F.DIST.RT(L4,IF(D4&gt;H4,B4,F4)-1,IF(D4&gt;H4,F4,B4)-1)*2</f>
        <v>0.50162311136141502</v>
      </c>
      <c r="N4" s="199"/>
      <c r="O4" s="196">
        <f>J4/SQRT((1/B4+1/F4)*((B4-1)*D4^2+(F4-1)*H4^2)/(B4+F4-2))</f>
        <v>-0.39167137723844492</v>
      </c>
      <c r="P4" s="195">
        <f>B4+F4-2</f>
        <v>23</v>
      </c>
      <c r="Q4" s="202">
        <f>2*(1-_xlfn.T.DIST(ABS(O4),P4,TRUE()))</f>
        <v>0.69890640924270442</v>
      </c>
      <c r="R4" s="197"/>
      <c r="S4" s="198">
        <f>J4/SQRT(D4^2/B4+H4^2/F4)</f>
        <v>-0.41021285055233175</v>
      </c>
      <c r="T4" s="197">
        <f>(D4^2/B4)/(D4^2/B4+H4^2/F4)</f>
        <v>0.48854229868538684</v>
      </c>
      <c r="U4" s="197">
        <f>ROUND(1/(T4^2/(B4-1)+(1-T4)^2/(F4-1)),0)</f>
        <v>22</v>
      </c>
      <c r="V4" s="203">
        <f>2*(1-_xlfn.T.DIST(ABS(S4),U4,TRUE()))</f>
        <v>0.68561722281552395</v>
      </c>
      <c r="W4" s="197"/>
    </row>
    <row r="5" spans="1:23" ht="18" customHeight="1">
      <c r="A5" t="s">
        <v>337</v>
      </c>
      <c r="J5" s="187"/>
      <c r="K5" s="187"/>
      <c r="O5" s="187"/>
      <c r="P5" s="187"/>
      <c r="Q5" s="187"/>
      <c r="R5" s="187"/>
      <c r="S5" s="187"/>
      <c r="T5" s="187"/>
      <c r="U5" s="187"/>
      <c r="V5" s="187"/>
      <c r="W5" s="187"/>
    </row>
    <row r="6" spans="1:23" ht="18" customHeight="1">
      <c r="A6" t="s">
        <v>119</v>
      </c>
    </row>
    <row r="7" spans="1:23" ht="18" customHeight="1">
      <c r="A7" t="s">
        <v>327</v>
      </c>
    </row>
  </sheetData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B568-208C-448D-95DD-27D5222D6573}">
  <dimension ref="A1:H31"/>
  <sheetViews>
    <sheetView workbookViewId="0"/>
  </sheetViews>
  <sheetFormatPr defaultRowHeight="13.5"/>
  <cols>
    <col min="1" max="1" width="17.5" customWidth="1"/>
    <col min="257" max="257" width="17.5" customWidth="1"/>
    <col min="513" max="513" width="17.5" customWidth="1"/>
    <col min="769" max="769" width="17.5" customWidth="1"/>
    <col min="1025" max="1025" width="17.5" customWidth="1"/>
    <col min="1281" max="1281" width="17.5" customWidth="1"/>
    <col min="1537" max="1537" width="17.5" customWidth="1"/>
    <col min="1793" max="1793" width="17.5" customWidth="1"/>
    <col min="2049" max="2049" width="17.5" customWidth="1"/>
    <col min="2305" max="2305" width="17.5" customWidth="1"/>
    <col min="2561" max="2561" width="17.5" customWidth="1"/>
    <col min="2817" max="2817" width="17.5" customWidth="1"/>
    <col min="3073" max="3073" width="17.5" customWidth="1"/>
    <col min="3329" max="3329" width="17.5" customWidth="1"/>
    <col min="3585" max="3585" width="17.5" customWidth="1"/>
    <col min="3841" max="3841" width="17.5" customWidth="1"/>
    <col min="4097" max="4097" width="17.5" customWidth="1"/>
    <col min="4353" max="4353" width="17.5" customWidth="1"/>
    <col min="4609" max="4609" width="17.5" customWidth="1"/>
    <col min="4865" max="4865" width="17.5" customWidth="1"/>
    <col min="5121" max="5121" width="17.5" customWidth="1"/>
    <col min="5377" max="5377" width="17.5" customWidth="1"/>
    <col min="5633" max="5633" width="17.5" customWidth="1"/>
    <col min="5889" max="5889" width="17.5" customWidth="1"/>
    <col min="6145" max="6145" width="17.5" customWidth="1"/>
    <col min="6401" max="6401" width="17.5" customWidth="1"/>
    <col min="6657" max="6657" width="17.5" customWidth="1"/>
    <col min="6913" max="6913" width="17.5" customWidth="1"/>
    <col min="7169" max="7169" width="17.5" customWidth="1"/>
    <col min="7425" max="7425" width="17.5" customWidth="1"/>
    <col min="7681" max="7681" width="17.5" customWidth="1"/>
    <col min="7937" max="7937" width="17.5" customWidth="1"/>
    <col min="8193" max="8193" width="17.5" customWidth="1"/>
    <col min="8449" max="8449" width="17.5" customWidth="1"/>
    <col min="8705" max="8705" width="17.5" customWidth="1"/>
    <col min="8961" max="8961" width="17.5" customWidth="1"/>
    <col min="9217" max="9217" width="17.5" customWidth="1"/>
    <col min="9473" max="9473" width="17.5" customWidth="1"/>
    <col min="9729" max="9729" width="17.5" customWidth="1"/>
    <col min="9985" max="9985" width="17.5" customWidth="1"/>
    <col min="10241" max="10241" width="17.5" customWidth="1"/>
    <col min="10497" max="10497" width="17.5" customWidth="1"/>
    <col min="10753" max="10753" width="17.5" customWidth="1"/>
    <col min="11009" max="11009" width="17.5" customWidth="1"/>
    <col min="11265" max="11265" width="17.5" customWidth="1"/>
    <col min="11521" max="11521" width="17.5" customWidth="1"/>
    <col min="11777" max="11777" width="17.5" customWidth="1"/>
    <col min="12033" max="12033" width="17.5" customWidth="1"/>
    <col min="12289" max="12289" width="17.5" customWidth="1"/>
    <col min="12545" max="12545" width="17.5" customWidth="1"/>
    <col min="12801" max="12801" width="17.5" customWidth="1"/>
    <col min="13057" max="13057" width="17.5" customWidth="1"/>
    <col min="13313" max="13313" width="17.5" customWidth="1"/>
    <col min="13569" max="13569" width="17.5" customWidth="1"/>
    <col min="13825" max="13825" width="17.5" customWidth="1"/>
    <col min="14081" max="14081" width="17.5" customWidth="1"/>
    <col min="14337" max="14337" width="17.5" customWidth="1"/>
    <col min="14593" max="14593" width="17.5" customWidth="1"/>
    <col min="14849" max="14849" width="17.5" customWidth="1"/>
    <col min="15105" max="15105" width="17.5" customWidth="1"/>
    <col min="15361" max="15361" width="17.5" customWidth="1"/>
    <col min="15617" max="15617" width="17.5" customWidth="1"/>
    <col min="15873" max="15873" width="17.5" customWidth="1"/>
    <col min="16129" max="16129" width="17.5" customWidth="1"/>
  </cols>
  <sheetData>
    <row r="1" spans="1:8" ht="18.75">
      <c r="A1" s="234" t="s">
        <v>365</v>
      </c>
    </row>
    <row r="2" spans="1:8" ht="19.5" thickBot="1">
      <c r="A2" s="235" t="s">
        <v>366</v>
      </c>
    </row>
    <row r="3" spans="1:8" ht="27.75" thickBot="1">
      <c r="A3" s="236" t="s">
        <v>346</v>
      </c>
      <c r="B3" s="237" t="s">
        <v>367</v>
      </c>
      <c r="C3" s="238" t="s">
        <v>368</v>
      </c>
      <c r="D3" s="238" t="s">
        <v>369</v>
      </c>
      <c r="E3" s="238" t="s">
        <v>370</v>
      </c>
      <c r="F3" s="239" t="s">
        <v>371</v>
      </c>
      <c r="G3" s="240" t="s">
        <v>372</v>
      </c>
    </row>
    <row r="4" spans="1:8">
      <c r="A4" s="237" t="s">
        <v>367</v>
      </c>
      <c r="B4" s="241">
        <v>10</v>
      </c>
      <c r="C4" s="242">
        <v>10</v>
      </c>
      <c r="D4" s="242">
        <v>15</v>
      </c>
      <c r="E4" s="242">
        <v>20</v>
      </c>
      <c r="F4" s="243">
        <v>30</v>
      </c>
      <c r="G4" s="240">
        <f t="shared" ref="G4:G9" si="0">SUM(B4:F4)</f>
        <v>85</v>
      </c>
    </row>
    <row r="5" spans="1:8">
      <c r="A5" s="244" t="s">
        <v>373</v>
      </c>
      <c r="B5" s="245">
        <v>1</v>
      </c>
      <c r="C5" s="246">
        <v>2</v>
      </c>
      <c r="D5" s="246">
        <v>3</v>
      </c>
      <c r="E5" s="246">
        <v>4</v>
      </c>
      <c r="F5" s="247">
        <v>6</v>
      </c>
      <c r="G5" s="248">
        <f t="shared" si="0"/>
        <v>16</v>
      </c>
    </row>
    <row r="6" spans="1:8">
      <c r="A6" s="244" t="s">
        <v>374</v>
      </c>
      <c r="B6" s="245">
        <v>5</v>
      </c>
      <c r="C6" s="246">
        <v>2</v>
      </c>
      <c r="D6" s="246">
        <v>3</v>
      </c>
      <c r="E6" s="246">
        <v>4</v>
      </c>
      <c r="F6" s="247">
        <v>5</v>
      </c>
      <c r="G6" s="248">
        <f t="shared" si="0"/>
        <v>19</v>
      </c>
    </row>
    <row r="7" spans="1:8">
      <c r="A7" s="244" t="s">
        <v>375</v>
      </c>
      <c r="B7" s="245">
        <v>5</v>
      </c>
      <c r="C7" s="246">
        <v>5</v>
      </c>
      <c r="D7" s="246">
        <v>6</v>
      </c>
      <c r="E7" s="246">
        <v>15</v>
      </c>
      <c r="F7" s="247">
        <v>20</v>
      </c>
      <c r="G7" s="248">
        <f t="shared" si="0"/>
        <v>51</v>
      </c>
    </row>
    <row r="8" spans="1:8" ht="14.25" thickBot="1">
      <c r="A8" s="249" t="s">
        <v>371</v>
      </c>
      <c r="B8" s="250">
        <v>20</v>
      </c>
      <c r="C8" s="251">
        <v>10</v>
      </c>
      <c r="D8" s="251">
        <v>5</v>
      </c>
      <c r="E8" s="251">
        <v>20</v>
      </c>
      <c r="F8" s="252">
        <v>20</v>
      </c>
      <c r="G8" s="253">
        <f t="shared" si="0"/>
        <v>75</v>
      </c>
    </row>
    <row r="9" spans="1:8" ht="14.25" thickBot="1">
      <c r="A9" s="254" t="s">
        <v>372</v>
      </c>
      <c r="B9" s="254">
        <f>SUM(B4:B8)</f>
        <v>41</v>
      </c>
      <c r="C9" s="255">
        <f>SUM(C4:C8)</f>
        <v>29</v>
      </c>
      <c r="D9" s="255">
        <f>SUM(D4:D8)</f>
        <v>32</v>
      </c>
      <c r="E9" s="255">
        <f>SUM(E4:E8)</f>
        <v>63</v>
      </c>
      <c r="F9" s="253">
        <f>SUM(F4:F8)</f>
        <v>81</v>
      </c>
      <c r="G9" s="253">
        <f t="shared" si="0"/>
        <v>246</v>
      </c>
    </row>
    <row r="10" spans="1:8" ht="14.25" thickBot="1"/>
    <row r="11" spans="1:8" ht="15.75">
      <c r="A11" s="256" t="s">
        <v>376</v>
      </c>
      <c r="B11" s="257">
        <f>SUM(B27:F31)</f>
        <v>16.552794506779826</v>
      </c>
      <c r="H11" t="s">
        <v>377</v>
      </c>
    </row>
    <row r="12" spans="1:8">
      <c r="A12" s="258" t="s">
        <v>378</v>
      </c>
      <c r="B12" s="259">
        <f>(COUNT(B27:F27)-1)*(COUNT(B27:B31)-1)</f>
        <v>16</v>
      </c>
      <c r="H12" t="s">
        <v>379</v>
      </c>
    </row>
    <row r="13" spans="1:8" ht="14.25" thickBot="1">
      <c r="A13" s="260" t="s">
        <v>380</v>
      </c>
      <c r="B13" s="261">
        <f>CHIDIST(B11,B12)</f>
        <v>0.41508976019884725</v>
      </c>
      <c r="H13" t="s">
        <v>381</v>
      </c>
    </row>
    <row r="14" spans="1:8">
      <c r="A14" s="262"/>
    </row>
    <row r="15" spans="1:8" ht="18.75">
      <c r="A15" s="235" t="s">
        <v>382</v>
      </c>
    </row>
    <row r="16" spans="1:8" ht="14.25" thickBot="1">
      <c r="B16" t="s">
        <v>383</v>
      </c>
    </row>
    <row r="17" spans="1:7" ht="27.75" thickBot="1">
      <c r="A17" s="236" t="s">
        <v>346</v>
      </c>
      <c r="B17" s="237" t="s">
        <v>367</v>
      </c>
      <c r="C17" s="238" t="s">
        <v>368</v>
      </c>
      <c r="D17" s="238" t="s">
        <v>369</v>
      </c>
      <c r="E17" s="238" t="s">
        <v>370</v>
      </c>
      <c r="F17" s="239" t="s">
        <v>371</v>
      </c>
      <c r="G17" s="240" t="s">
        <v>372</v>
      </c>
    </row>
    <row r="18" spans="1:7">
      <c r="A18" s="237" t="s">
        <v>367</v>
      </c>
      <c r="B18" s="236">
        <f>+B9*G4/G9</f>
        <v>14.166666666666666</v>
      </c>
      <c r="C18" s="20">
        <f>+C9*G4/G9</f>
        <v>10.020325203252032</v>
      </c>
      <c r="D18" s="20">
        <f>+D9*G4/G9</f>
        <v>11.056910569105691</v>
      </c>
      <c r="E18" s="20">
        <f>+E9*G4/G9</f>
        <v>21.76829268292683</v>
      </c>
      <c r="F18" s="240">
        <f>+F9*G4/G9</f>
        <v>27.987804878048781</v>
      </c>
      <c r="G18" s="240">
        <f t="shared" ref="G18:G23" si="1">SUM(B18:F18)</f>
        <v>85</v>
      </c>
    </row>
    <row r="19" spans="1:7">
      <c r="A19" s="244" t="s">
        <v>373</v>
      </c>
      <c r="B19" s="263">
        <f>+B9*G5/G9</f>
        <v>2.6666666666666665</v>
      </c>
      <c r="C19">
        <f>+C9*G5/G9</f>
        <v>1.8861788617886179</v>
      </c>
      <c r="D19">
        <f>+D9*G5/G9</f>
        <v>2.0813008130081303</v>
      </c>
      <c r="E19">
        <f>+E9*G5/G9</f>
        <v>4.0975609756097562</v>
      </c>
      <c r="F19" s="248">
        <f>+F9*G5/G9</f>
        <v>5.2682926829268295</v>
      </c>
      <c r="G19" s="248">
        <f t="shared" si="1"/>
        <v>16</v>
      </c>
    </row>
    <row r="20" spans="1:7">
      <c r="A20" s="244" t="s">
        <v>374</v>
      </c>
      <c r="B20" s="263">
        <f>+B9*G6/G9</f>
        <v>3.1666666666666665</v>
      </c>
      <c r="C20">
        <f>+C9*G6/G9</f>
        <v>2.2398373983739837</v>
      </c>
      <c r="D20">
        <f>+D9*G6/G9</f>
        <v>2.4715447154471546</v>
      </c>
      <c r="E20">
        <f>+E9*G6/G9</f>
        <v>4.8658536585365857</v>
      </c>
      <c r="F20" s="248">
        <f>+F9*G6/G9</f>
        <v>6.2560975609756095</v>
      </c>
      <c r="G20" s="248">
        <f t="shared" si="1"/>
        <v>19</v>
      </c>
    </row>
    <row r="21" spans="1:7">
      <c r="A21" s="244" t="s">
        <v>375</v>
      </c>
      <c r="B21" s="263">
        <f>+B9*G7/G9</f>
        <v>8.5</v>
      </c>
      <c r="C21">
        <f>+C9*G7/G9</f>
        <v>6.0121951219512191</v>
      </c>
      <c r="D21">
        <f>+D9*G7/G9</f>
        <v>6.6341463414634143</v>
      </c>
      <c r="E21">
        <f>+E9*G7/G9</f>
        <v>13.060975609756097</v>
      </c>
      <c r="F21" s="248">
        <f>+F9*G7/G9</f>
        <v>16.792682926829269</v>
      </c>
      <c r="G21" s="248">
        <f t="shared" si="1"/>
        <v>51</v>
      </c>
    </row>
    <row r="22" spans="1:7" ht="14.25" thickBot="1">
      <c r="A22" s="249" t="s">
        <v>371</v>
      </c>
      <c r="B22" s="254">
        <f>+B9*G8/G9</f>
        <v>12.5</v>
      </c>
      <c r="C22" s="255">
        <f>+C9*G8/G9</f>
        <v>8.8414634146341466</v>
      </c>
      <c r="D22" s="255">
        <f>+D9*G8/G9</f>
        <v>9.7560975609756095</v>
      </c>
      <c r="E22" s="255">
        <f>+E9*G8/G9</f>
        <v>19.207317073170731</v>
      </c>
      <c r="F22" s="253">
        <f>+F9*G8/G9</f>
        <v>24.695121951219512</v>
      </c>
      <c r="G22" s="253">
        <f t="shared" si="1"/>
        <v>75</v>
      </c>
    </row>
    <row r="23" spans="1:7" ht="14.25" thickBot="1">
      <c r="A23" s="254" t="s">
        <v>372</v>
      </c>
      <c r="B23" s="254">
        <f>SUM(B18:B22)</f>
        <v>41</v>
      </c>
      <c r="C23" s="255">
        <f>SUM(C18:C22)</f>
        <v>29</v>
      </c>
      <c r="D23" s="255">
        <f>SUM(D18:D22)</f>
        <v>32</v>
      </c>
      <c r="E23" s="255">
        <f>SUM(E18:E22)</f>
        <v>63</v>
      </c>
      <c r="F23" s="253">
        <f>SUM(F18:F22)</f>
        <v>81</v>
      </c>
      <c r="G23" s="253">
        <f t="shared" si="1"/>
        <v>246</v>
      </c>
    </row>
    <row r="25" spans="1:7" ht="22.5" thickBot="1">
      <c r="A25" s="235" t="s">
        <v>384</v>
      </c>
    </row>
    <row r="26" spans="1:7" ht="27.75" thickBot="1">
      <c r="A26" s="236" t="s">
        <v>346</v>
      </c>
      <c r="B26" s="237" t="s">
        <v>367</v>
      </c>
      <c r="C26" s="238" t="s">
        <v>368</v>
      </c>
      <c r="D26" s="238" t="s">
        <v>369</v>
      </c>
      <c r="E26" s="238" t="s">
        <v>370</v>
      </c>
      <c r="F26" s="239" t="s">
        <v>371</v>
      </c>
    </row>
    <row r="27" spans="1:7">
      <c r="A27" s="237" t="s">
        <v>367</v>
      </c>
      <c r="B27" s="236">
        <f t="shared" ref="B27:F31" si="2">+(B4-B18)^2/B18</f>
        <v>1.2254901960784312</v>
      </c>
      <c r="C27" s="20">
        <f t="shared" si="2"/>
        <v>4.1227592803308473E-5</v>
      </c>
      <c r="D27" s="20">
        <f t="shared" si="2"/>
        <v>1.4061752749880441</v>
      </c>
      <c r="E27" s="20">
        <f t="shared" si="2"/>
        <v>0.14364282298285186</v>
      </c>
      <c r="F27" s="240">
        <f t="shared" si="2"/>
        <v>0.14466762314681963</v>
      </c>
    </row>
    <row r="28" spans="1:7">
      <c r="A28" s="244" t="s">
        <v>373</v>
      </c>
      <c r="B28" s="263">
        <f t="shared" si="2"/>
        <v>1.0416666666666665</v>
      </c>
      <c r="C28">
        <f t="shared" si="2"/>
        <v>6.8685169610316734E-3</v>
      </c>
      <c r="D28">
        <f t="shared" si="2"/>
        <v>0.40551956300812986</v>
      </c>
      <c r="E28">
        <f t="shared" si="2"/>
        <v>2.3228803716608634E-3</v>
      </c>
      <c r="F28" s="248">
        <f t="shared" si="2"/>
        <v>0.10162601626016253</v>
      </c>
    </row>
    <row r="29" spans="1:7">
      <c r="A29" s="244" t="s">
        <v>374</v>
      </c>
      <c r="B29" s="263">
        <f t="shared" si="2"/>
        <v>1.06140350877193</v>
      </c>
      <c r="C29">
        <f t="shared" si="2"/>
        <v>2.5681318519174285E-2</v>
      </c>
      <c r="D29">
        <f t="shared" si="2"/>
        <v>0.11299208386820704</v>
      </c>
      <c r="E29">
        <f t="shared" si="2"/>
        <v>0.1540742099150316</v>
      </c>
      <c r="F29" s="248">
        <f t="shared" si="2"/>
        <v>0.25219892549802686</v>
      </c>
    </row>
    <row r="30" spans="1:7">
      <c r="A30" s="244" t="s">
        <v>375</v>
      </c>
      <c r="B30" s="263">
        <f t="shared" si="2"/>
        <v>1.4411764705882353</v>
      </c>
      <c r="C30">
        <f t="shared" si="2"/>
        <v>0.17041013209320721</v>
      </c>
      <c r="D30">
        <f t="shared" si="2"/>
        <v>6.0616929698708695E-2</v>
      </c>
      <c r="E30">
        <f t="shared" si="2"/>
        <v>0.28786636605861871</v>
      </c>
      <c r="F30" s="248">
        <f t="shared" si="2"/>
        <v>0.61258125653151951</v>
      </c>
    </row>
    <row r="31" spans="1:7" ht="14.25" thickBot="1">
      <c r="A31" s="249" t="s">
        <v>371</v>
      </c>
      <c r="B31" s="254">
        <f t="shared" si="2"/>
        <v>4.5</v>
      </c>
      <c r="C31" s="255">
        <f t="shared" si="2"/>
        <v>0.15180824222035316</v>
      </c>
      <c r="D31" s="255">
        <f t="shared" si="2"/>
        <v>2.3185975609756095</v>
      </c>
      <c r="E31" s="255">
        <f t="shared" si="2"/>
        <v>3.2713898567557124E-2</v>
      </c>
      <c r="F31" s="253">
        <f t="shared" si="2"/>
        <v>0.89265281541704311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3DED-9477-482A-A576-96452A733808}">
  <dimension ref="A1:E11"/>
  <sheetViews>
    <sheetView workbookViewId="0">
      <selection activeCell="A11" sqref="A11"/>
    </sheetView>
  </sheetViews>
  <sheetFormatPr defaultRowHeight="13.5"/>
  <cols>
    <col min="1" max="1" width="17.5" customWidth="1"/>
    <col min="2" max="2" width="9.5" bestFit="1" customWidth="1"/>
    <col min="257" max="257" width="17.5" customWidth="1"/>
    <col min="258" max="258" width="9.5" bestFit="1" customWidth="1"/>
    <col min="513" max="513" width="17.5" customWidth="1"/>
    <col min="514" max="514" width="9.5" bestFit="1" customWidth="1"/>
    <col min="769" max="769" width="17.5" customWidth="1"/>
    <col min="770" max="770" width="9.5" bestFit="1" customWidth="1"/>
    <col min="1025" max="1025" width="17.5" customWidth="1"/>
    <col min="1026" max="1026" width="9.5" bestFit="1" customWidth="1"/>
    <col min="1281" max="1281" width="17.5" customWidth="1"/>
    <col min="1282" max="1282" width="9.5" bestFit="1" customWidth="1"/>
    <col min="1537" max="1537" width="17.5" customWidth="1"/>
    <col min="1538" max="1538" width="9.5" bestFit="1" customWidth="1"/>
    <col min="1793" max="1793" width="17.5" customWidth="1"/>
    <col min="1794" max="1794" width="9.5" bestFit="1" customWidth="1"/>
    <col min="2049" max="2049" width="17.5" customWidth="1"/>
    <col min="2050" max="2050" width="9.5" bestFit="1" customWidth="1"/>
    <col min="2305" max="2305" width="17.5" customWidth="1"/>
    <col min="2306" max="2306" width="9.5" bestFit="1" customWidth="1"/>
    <col min="2561" max="2561" width="17.5" customWidth="1"/>
    <col min="2562" max="2562" width="9.5" bestFit="1" customWidth="1"/>
    <col min="2817" max="2817" width="17.5" customWidth="1"/>
    <col min="2818" max="2818" width="9.5" bestFit="1" customWidth="1"/>
    <col min="3073" max="3073" width="17.5" customWidth="1"/>
    <col min="3074" max="3074" width="9.5" bestFit="1" customWidth="1"/>
    <col min="3329" max="3329" width="17.5" customWidth="1"/>
    <col min="3330" max="3330" width="9.5" bestFit="1" customWidth="1"/>
    <col min="3585" max="3585" width="17.5" customWidth="1"/>
    <col min="3586" max="3586" width="9.5" bestFit="1" customWidth="1"/>
    <col min="3841" max="3841" width="17.5" customWidth="1"/>
    <col min="3842" max="3842" width="9.5" bestFit="1" customWidth="1"/>
    <col min="4097" max="4097" width="17.5" customWidth="1"/>
    <col min="4098" max="4098" width="9.5" bestFit="1" customWidth="1"/>
    <col min="4353" max="4353" width="17.5" customWidth="1"/>
    <col min="4354" max="4354" width="9.5" bestFit="1" customWidth="1"/>
    <col min="4609" max="4609" width="17.5" customWidth="1"/>
    <col min="4610" max="4610" width="9.5" bestFit="1" customWidth="1"/>
    <col min="4865" max="4865" width="17.5" customWidth="1"/>
    <col min="4866" max="4866" width="9.5" bestFit="1" customWidth="1"/>
    <col min="5121" max="5121" width="17.5" customWidth="1"/>
    <col min="5122" max="5122" width="9.5" bestFit="1" customWidth="1"/>
    <col min="5377" max="5377" width="17.5" customWidth="1"/>
    <col min="5378" max="5378" width="9.5" bestFit="1" customWidth="1"/>
    <col min="5633" max="5633" width="17.5" customWidth="1"/>
    <col min="5634" max="5634" width="9.5" bestFit="1" customWidth="1"/>
    <col min="5889" max="5889" width="17.5" customWidth="1"/>
    <col min="5890" max="5890" width="9.5" bestFit="1" customWidth="1"/>
    <col min="6145" max="6145" width="17.5" customWidth="1"/>
    <col min="6146" max="6146" width="9.5" bestFit="1" customWidth="1"/>
    <col min="6401" max="6401" width="17.5" customWidth="1"/>
    <col min="6402" max="6402" width="9.5" bestFit="1" customWidth="1"/>
    <col min="6657" max="6657" width="17.5" customWidth="1"/>
    <col min="6658" max="6658" width="9.5" bestFit="1" customWidth="1"/>
    <col min="6913" max="6913" width="17.5" customWidth="1"/>
    <col min="6914" max="6914" width="9.5" bestFit="1" customWidth="1"/>
    <col min="7169" max="7169" width="17.5" customWidth="1"/>
    <col min="7170" max="7170" width="9.5" bestFit="1" customWidth="1"/>
    <col min="7425" max="7425" width="17.5" customWidth="1"/>
    <col min="7426" max="7426" width="9.5" bestFit="1" customWidth="1"/>
    <col min="7681" max="7681" width="17.5" customWidth="1"/>
    <col min="7682" max="7682" width="9.5" bestFit="1" customWidth="1"/>
    <col min="7937" max="7937" width="17.5" customWidth="1"/>
    <col min="7938" max="7938" width="9.5" bestFit="1" customWidth="1"/>
    <col min="8193" max="8193" width="17.5" customWidth="1"/>
    <col min="8194" max="8194" width="9.5" bestFit="1" customWidth="1"/>
    <col min="8449" max="8449" width="17.5" customWidth="1"/>
    <col min="8450" max="8450" width="9.5" bestFit="1" customWidth="1"/>
    <col min="8705" max="8705" width="17.5" customWidth="1"/>
    <col min="8706" max="8706" width="9.5" bestFit="1" customWidth="1"/>
    <col min="8961" max="8961" width="17.5" customWidth="1"/>
    <col min="8962" max="8962" width="9.5" bestFit="1" customWidth="1"/>
    <col min="9217" max="9217" width="17.5" customWidth="1"/>
    <col min="9218" max="9218" width="9.5" bestFit="1" customWidth="1"/>
    <col min="9473" max="9473" width="17.5" customWidth="1"/>
    <col min="9474" max="9474" width="9.5" bestFit="1" customWidth="1"/>
    <col min="9729" max="9729" width="17.5" customWidth="1"/>
    <col min="9730" max="9730" width="9.5" bestFit="1" customWidth="1"/>
    <col min="9985" max="9985" width="17.5" customWidth="1"/>
    <col min="9986" max="9986" width="9.5" bestFit="1" customWidth="1"/>
    <col min="10241" max="10241" width="17.5" customWidth="1"/>
    <col min="10242" max="10242" width="9.5" bestFit="1" customWidth="1"/>
    <col min="10497" max="10497" width="17.5" customWidth="1"/>
    <col min="10498" max="10498" width="9.5" bestFit="1" customWidth="1"/>
    <col min="10753" max="10753" width="17.5" customWidth="1"/>
    <col min="10754" max="10754" width="9.5" bestFit="1" customWidth="1"/>
    <col min="11009" max="11009" width="17.5" customWidth="1"/>
    <col min="11010" max="11010" width="9.5" bestFit="1" customWidth="1"/>
    <col min="11265" max="11265" width="17.5" customWidth="1"/>
    <col min="11266" max="11266" width="9.5" bestFit="1" customWidth="1"/>
    <col min="11521" max="11521" width="17.5" customWidth="1"/>
    <col min="11522" max="11522" width="9.5" bestFit="1" customWidth="1"/>
    <col min="11777" max="11777" width="17.5" customWidth="1"/>
    <col min="11778" max="11778" width="9.5" bestFit="1" customWidth="1"/>
    <col min="12033" max="12033" width="17.5" customWidth="1"/>
    <col min="12034" max="12034" width="9.5" bestFit="1" customWidth="1"/>
    <col min="12289" max="12289" width="17.5" customWidth="1"/>
    <col min="12290" max="12290" width="9.5" bestFit="1" customWidth="1"/>
    <col min="12545" max="12545" width="17.5" customWidth="1"/>
    <col min="12546" max="12546" width="9.5" bestFit="1" customWidth="1"/>
    <col min="12801" max="12801" width="17.5" customWidth="1"/>
    <col min="12802" max="12802" width="9.5" bestFit="1" customWidth="1"/>
    <col min="13057" max="13057" width="17.5" customWidth="1"/>
    <col min="13058" max="13058" width="9.5" bestFit="1" customWidth="1"/>
    <col min="13313" max="13313" width="17.5" customWidth="1"/>
    <col min="13314" max="13314" width="9.5" bestFit="1" customWidth="1"/>
    <col min="13569" max="13569" width="17.5" customWidth="1"/>
    <col min="13570" max="13570" width="9.5" bestFit="1" customWidth="1"/>
    <col min="13825" max="13825" width="17.5" customWidth="1"/>
    <col min="13826" max="13826" width="9.5" bestFit="1" customWidth="1"/>
    <col min="14081" max="14081" width="17.5" customWidth="1"/>
    <col min="14082" max="14082" width="9.5" bestFit="1" customWidth="1"/>
    <col min="14337" max="14337" width="17.5" customWidth="1"/>
    <col min="14338" max="14338" width="9.5" bestFit="1" customWidth="1"/>
    <col min="14593" max="14593" width="17.5" customWidth="1"/>
    <col min="14594" max="14594" width="9.5" bestFit="1" customWidth="1"/>
    <col min="14849" max="14849" width="17.5" customWidth="1"/>
    <col min="14850" max="14850" width="9.5" bestFit="1" customWidth="1"/>
    <col min="15105" max="15105" width="17.5" customWidth="1"/>
    <col min="15106" max="15106" width="9.5" bestFit="1" customWidth="1"/>
    <col min="15361" max="15361" width="17.5" customWidth="1"/>
    <col min="15362" max="15362" width="9.5" bestFit="1" customWidth="1"/>
    <col min="15617" max="15617" width="17.5" customWidth="1"/>
    <col min="15618" max="15618" width="9.5" bestFit="1" customWidth="1"/>
    <col min="15873" max="15873" width="17.5" customWidth="1"/>
    <col min="15874" max="15874" width="9.5" bestFit="1" customWidth="1"/>
    <col min="16129" max="16129" width="17.5" customWidth="1"/>
    <col min="16130" max="16130" width="9.5" bestFit="1" customWidth="1"/>
  </cols>
  <sheetData>
    <row r="1" spans="1:5" ht="18.75">
      <c r="A1" s="234" t="s">
        <v>365</v>
      </c>
    </row>
    <row r="2" spans="1:5" ht="19.5" thickBot="1">
      <c r="A2" s="235" t="s">
        <v>366</v>
      </c>
    </row>
    <row r="3" spans="1:5" ht="14.25" thickBot="1">
      <c r="A3" s="236" t="s">
        <v>346</v>
      </c>
      <c r="B3" s="237" t="s">
        <v>367</v>
      </c>
      <c r="C3" s="239" t="s">
        <v>371</v>
      </c>
      <c r="D3" s="240" t="s">
        <v>372</v>
      </c>
    </row>
    <row r="4" spans="1:5">
      <c r="A4" s="237" t="s">
        <v>367</v>
      </c>
      <c r="B4" s="241">
        <v>30</v>
      </c>
      <c r="C4" s="243">
        <v>15</v>
      </c>
      <c r="D4" s="240">
        <f>SUM(B4:C4)</f>
        <v>45</v>
      </c>
    </row>
    <row r="5" spans="1:5" ht="14.25" thickBot="1">
      <c r="A5" s="249" t="s">
        <v>371</v>
      </c>
      <c r="B5" s="250">
        <v>20</v>
      </c>
      <c r="C5" s="252">
        <v>25</v>
      </c>
      <c r="D5" s="253">
        <f>SUM(B5:C5)</f>
        <v>45</v>
      </c>
    </row>
    <row r="6" spans="1:5" ht="14.25" thickBot="1">
      <c r="A6" s="254" t="s">
        <v>372</v>
      </c>
      <c r="B6" s="254">
        <f>SUM(B4:B5)</f>
        <v>50</v>
      </c>
      <c r="C6" s="253">
        <f>SUM(C4:C5)</f>
        <v>40</v>
      </c>
      <c r="D6" s="253">
        <f>SUM(B6:C6)</f>
        <v>90</v>
      </c>
    </row>
    <row r="7" spans="1:5" ht="14.25" thickBot="1"/>
    <row r="8" spans="1:5" ht="15.75">
      <c r="A8" s="256" t="s">
        <v>385</v>
      </c>
      <c r="B8" s="257">
        <f>+D6*(ABS(B4*C5-C4*B5)-D6/2)^2/(D4*D5*B6*C6)</f>
        <v>3.645</v>
      </c>
      <c r="E8" t="s">
        <v>377</v>
      </c>
    </row>
    <row r="9" spans="1:5">
      <c r="A9" s="258" t="s">
        <v>378</v>
      </c>
      <c r="B9" s="259">
        <v>1</v>
      </c>
      <c r="E9" t="s">
        <v>379</v>
      </c>
    </row>
    <row r="10" spans="1:5" ht="14.25" thickBot="1">
      <c r="A10" s="260" t="s">
        <v>380</v>
      </c>
      <c r="B10" s="261">
        <f>CHIDIST(B8,B9)</f>
        <v>5.6237803877275942E-2</v>
      </c>
      <c r="E10" t="s">
        <v>381</v>
      </c>
    </row>
    <row r="11" spans="1:5">
      <c r="A11" s="262"/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D259-0DB0-403E-B7E9-42D688CBBBED}">
  <dimension ref="A1:E11"/>
  <sheetViews>
    <sheetView workbookViewId="0">
      <selection activeCell="A11" sqref="A11"/>
    </sheetView>
  </sheetViews>
  <sheetFormatPr defaultRowHeight="13.5"/>
  <cols>
    <col min="1" max="1" width="17.5" customWidth="1"/>
    <col min="2" max="2" width="9.5" bestFit="1" customWidth="1"/>
    <col min="257" max="257" width="17.5" customWidth="1"/>
    <col min="258" max="258" width="9.5" bestFit="1" customWidth="1"/>
    <col min="513" max="513" width="17.5" customWidth="1"/>
    <col min="514" max="514" width="9.5" bestFit="1" customWidth="1"/>
    <col min="769" max="769" width="17.5" customWidth="1"/>
    <col min="770" max="770" width="9.5" bestFit="1" customWidth="1"/>
    <col min="1025" max="1025" width="17.5" customWidth="1"/>
    <col min="1026" max="1026" width="9.5" bestFit="1" customWidth="1"/>
    <col min="1281" max="1281" width="17.5" customWidth="1"/>
    <col min="1282" max="1282" width="9.5" bestFit="1" customWidth="1"/>
    <col min="1537" max="1537" width="17.5" customWidth="1"/>
    <col min="1538" max="1538" width="9.5" bestFit="1" customWidth="1"/>
    <col min="1793" max="1793" width="17.5" customWidth="1"/>
    <col min="1794" max="1794" width="9.5" bestFit="1" customWidth="1"/>
    <col min="2049" max="2049" width="17.5" customWidth="1"/>
    <col min="2050" max="2050" width="9.5" bestFit="1" customWidth="1"/>
    <col min="2305" max="2305" width="17.5" customWidth="1"/>
    <col min="2306" max="2306" width="9.5" bestFit="1" customWidth="1"/>
    <col min="2561" max="2561" width="17.5" customWidth="1"/>
    <col min="2562" max="2562" width="9.5" bestFit="1" customWidth="1"/>
    <col min="2817" max="2817" width="17.5" customWidth="1"/>
    <col min="2818" max="2818" width="9.5" bestFit="1" customWidth="1"/>
    <col min="3073" max="3073" width="17.5" customWidth="1"/>
    <col min="3074" max="3074" width="9.5" bestFit="1" customWidth="1"/>
    <col min="3329" max="3329" width="17.5" customWidth="1"/>
    <col min="3330" max="3330" width="9.5" bestFit="1" customWidth="1"/>
    <col min="3585" max="3585" width="17.5" customWidth="1"/>
    <col min="3586" max="3586" width="9.5" bestFit="1" customWidth="1"/>
    <col min="3841" max="3841" width="17.5" customWidth="1"/>
    <col min="3842" max="3842" width="9.5" bestFit="1" customWidth="1"/>
    <col min="4097" max="4097" width="17.5" customWidth="1"/>
    <col min="4098" max="4098" width="9.5" bestFit="1" customWidth="1"/>
    <col min="4353" max="4353" width="17.5" customWidth="1"/>
    <col min="4354" max="4354" width="9.5" bestFit="1" customWidth="1"/>
    <col min="4609" max="4609" width="17.5" customWidth="1"/>
    <col min="4610" max="4610" width="9.5" bestFit="1" customWidth="1"/>
    <col min="4865" max="4865" width="17.5" customWidth="1"/>
    <col min="4866" max="4866" width="9.5" bestFit="1" customWidth="1"/>
    <col min="5121" max="5121" width="17.5" customWidth="1"/>
    <col min="5122" max="5122" width="9.5" bestFit="1" customWidth="1"/>
    <col min="5377" max="5377" width="17.5" customWidth="1"/>
    <col min="5378" max="5378" width="9.5" bestFit="1" customWidth="1"/>
    <col min="5633" max="5633" width="17.5" customWidth="1"/>
    <col min="5634" max="5634" width="9.5" bestFit="1" customWidth="1"/>
    <col min="5889" max="5889" width="17.5" customWidth="1"/>
    <col min="5890" max="5890" width="9.5" bestFit="1" customWidth="1"/>
    <col min="6145" max="6145" width="17.5" customWidth="1"/>
    <col min="6146" max="6146" width="9.5" bestFit="1" customWidth="1"/>
    <col min="6401" max="6401" width="17.5" customWidth="1"/>
    <col min="6402" max="6402" width="9.5" bestFit="1" customWidth="1"/>
    <col min="6657" max="6657" width="17.5" customWidth="1"/>
    <col min="6658" max="6658" width="9.5" bestFit="1" customWidth="1"/>
    <col min="6913" max="6913" width="17.5" customWidth="1"/>
    <col min="6914" max="6914" width="9.5" bestFit="1" customWidth="1"/>
    <col min="7169" max="7169" width="17.5" customWidth="1"/>
    <col min="7170" max="7170" width="9.5" bestFit="1" customWidth="1"/>
    <col min="7425" max="7425" width="17.5" customWidth="1"/>
    <col min="7426" max="7426" width="9.5" bestFit="1" customWidth="1"/>
    <col min="7681" max="7681" width="17.5" customWidth="1"/>
    <col min="7682" max="7682" width="9.5" bestFit="1" customWidth="1"/>
    <col min="7937" max="7937" width="17.5" customWidth="1"/>
    <col min="7938" max="7938" width="9.5" bestFit="1" customWidth="1"/>
    <col min="8193" max="8193" width="17.5" customWidth="1"/>
    <col min="8194" max="8194" width="9.5" bestFit="1" customWidth="1"/>
    <col min="8449" max="8449" width="17.5" customWidth="1"/>
    <col min="8450" max="8450" width="9.5" bestFit="1" customWidth="1"/>
    <col min="8705" max="8705" width="17.5" customWidth="1"/>
    <col min="8706" max="8706" width="9.5" bestFit="1" customWidth="1"/>
    <col min="8961" max="8961" width="17.5" customWidth="1"/>
    <col min="8962" max="8962" width="9.5" bestFit="1" customWidth="1"/>
    <col min="9217" max="9217" width="17.5" customWidth="1"/>
    <col min="9218" max="9218" width="9.5" bestFit="1" customWidth="1"/>
    <col min="9473" max="9473" width="17.5" customWidth="1"/>
    <col min="9474" max="9474" width="9.5" bestFit="1" customWidth="1"/>
    <col min="9729" max="9729" width="17.5" customWidth="1"/>
    <col min="9730" max="9730" width="9.5" bestFit="1" customWidth="1"/>
    <col min="9985" max="9985" width="17.5" customWidth="1"/>
    <col min="9986" max="9986" width="9.5" bestFit="1" customWidth="1"/>
    <col min="10241" max="10241" width="17.5" customWidth="1"/>
    <col min="10242" max="10242" width="9.5" bestFit="1" customWidth="1"/>
    <col min="10497" max="10497" width="17.5" customWidth="1"/>
    <col min="10498" max="10498" width="9.5" bestFit="1" customWidth="1"/>
    <col min="10753" max="10753" width="17.5" customWidth="1"/>
    <col min="10754" max="10754" width="9.5" bestFit="1" customWidth="1"/>
    <col min="11009" max="11009" width="17.5" customWidth="1"/>
    <col min="11010" max="11010" width="9.5" bestFit="1" customWidth="1"/>
    <col min="11265" max="11265" width="17.5" customWidth="1"/>
    <col min="11266" max="11266" width="9.5" bestFit="1" customWidth="1"/>
    <col min="11521" max="11521" width="17.5" customWidth="1"/>
    <col min="11522" max="11522" width="9.5" bestFit="1" customWidth="1"/>
    <col min="11777" max="11777" width="17.5" customWidth="1"/>
    <col min="11778" max="11778" width="9.5" bestFit="1" customWidth="1"/>
    <col min="12033" max="12033" width="17.5" customWidth="1"/>
    <col min="12034" max="12034" width="9.5" bestFit="1" customWidth="1"/>
    <col min="12289" max="12289" width="17.5" customWidth="1"/>
    <col min="12290" max="12290" width="9.5" bestFit="1" customWidth="1"/>
    <col min="12545" max="12545" width="17.5" customWidth="1"/>
    <col min="12546" max="12546" width="9.5" bestFit="1" customWidth="1"/>
    <col min="12801" max="12801" width="17.5" customWidth="1"/>
    <col min="12802" max="12802" width="9.5" bestFit="1" customWidth="1"/>
    <col min="13057" max="13057" width="17.5" customWidth="1"/>
    <col min="13058" max="13058" width="9.5" bestFit="1" customWidth="1"/>
    <col min="13313" max="13313" width="17.5" customWidth="1"/>
    <col min="13314" max="13314" width="9.5" bestFit="1" customWidth="1"/>
    <col min="13569" max="13569" width="17.5" customWidth="1"/>
    <col min="13570" max="13570" width="9.5" bestFit="1" customWidth="1"/>
    <col min="13825" max="13825" width="17.5" customWidth="1"/>
    <col min="13826" max="13826" width="9.5" bestFit="1" customWidth="1"/>
    <col min="14081" max="14081" width="17.5" customWidth="1"/>
    <col min="14082" max="14082" width="9.5" bestFit="1" customWidth="1"/>
    <col min="14337" max="14337" width="17.5" customWidth="1"/>
    <col min="14338" max="14338" width="9.5" bestFit="1" customWidth="1"/>
    <col min="14593" max="14593" width="17.5" customWidth="1"/>
    <col min="14594" max="14594" width="9.5" bestFit="1" customWidth="1"/>
    <col min="14849" max="14849" width="17.5" customWidth="1"/>
    <col min="14850" max="14850" width="9.5" bestFit="1" customWidth="1"/>
    <col min="15105" max="15105" width="17.5" customWidth="1"/>
    <col min="15106" max="15106" width="9.5" bestFit="1" customWidth="1"/>
    <col min="15361" max="15361" width="17.5" customWidth="1"/>
    <col min="15362" max="15362" width="9.5" bestFit="1" customWidth="1"/>
    <col min="15617" max="15617" width="17.5" customWidth="1"/>
    <col min="15618" max="15618" width="9.5" bestFit="1" customWidth="1"/>
    <col min="15873" max="15873" width="17.5" customWidth="1"/>
    <col min="15874" max="15874" width="9.5" bestFit="1" customWidth="1"/>
    <col min="16129" max="16129" width="17.5" customWidth="1"/>
    <col min="16130" max="16130" width="9.5" bestFit="1" customWidth="1"/>
  </cols>
  <sheetData>
    <row r="1" spans="1:5" ht="18.75">
      <c r="A1" s="234" t="s">
        <v>386</v>
      </c>
    </row>
    <row r="2" spans="1:5" ht="19.5" thickBot="1">
      <c r="A2" s="235" t="s">
        <v>387</v>
      </c>
    </row>
    <row r="3" spans="1:5" ht="14.25" thickBot="1">
      <c r="A3" s="236" t="s">
        <v>388</v>
      </c>
      <c r="B3" s="237" t="s">
        <v>389</v>
      </c>
      <c r="C3" s="239" t="s">
        <v>390</v>
      </c>
      <c r="D3" s="240" t="s">
        <v>372</v>
      </c>
    </row>
    <row r="4" spans="1:5">
      <c r="A4" s="237" t="s">
        <v>389</v>
      </c>
      <c r="B4" s="241">
        <v>85</v>
      </c>
      <c r="C4" s="243">
        <v>18</v>
      </c>
      <c r="D4" s="240">
        <f>SUM(B4:C4)</f>
        <v>103</v>
      </c>
    </row>
    <row r="5" spans="1:5" ht="14.25" thickBot="1">
      <c r="A5" s="249" t="s">
        <v>390</v>
      </c>
      <c r="B5" s="250">
        <v>2</v>
      </c>
      <c r="C5" s="252">
        <v>61</v>
      </c>
      <c r="D5" s="253">
        <f>SUM(B5:C5)</f>
        <v>63</v>
      </c>
    </row>
    <row r="6" spans="1:5" ht="14.25" thickBot="1">
      <c r="A6" s="254" t="s">
        <v>372</v>
      </c>
      <c r="B6" s="254">
        <f>SUM(B4:B5)</f>
        <v>87</v>
      </c>
      <c r="C6" s="253">
        <f>SUM(C4:C5)</f>
        <v>79</v>
      </c>
      <c r="D6" s="253">
        <f>SUM(B6:C6)</f>
        <v>166</v>
      </c>
    </row>
    <row r="7" spans="1:5" ht="14.25" thickBot="1"/>
    <row r="8" spans="1:5">
      <c r="A8" s="256" t="s">
        <v>391</v>
      </c>
      <c r="B8" s="257">
        <f>(ABS(B5-C4)-1)^2/(B5+C4)</f>
        <v>11.25</v>
      </c>
      <c r="E8" t="s">
        <v>377</v>
      </c>
    </row>
    <row r="9" spans="1:5">
      <c r="A9" s="258" t="s">
        <v>378</v>
      </c>
      <c r="B9" s="259">
        <v>1</v>
      </c>
      <c r="E9" t="s">
        <v>392</v>
      </c>
    </row>
    <row r="10" spans="1:5" ht="14.25" thickBot="1">
      <c r="A10" s="260" t="s">
        <v>380</v>
      </c>
      <c r="B10" s="261">
        <f>CHIDIST(B8,B9)</f>
        <v>7.9623015759081148E-4</v>
      </c>
      <c r="E10" t="s">
        <v>381</v>
      </c>
    </row>
    <row r="11" spans="1:5">
      <c r="A11" s="262"/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練習問題４(例)</vt:lpstr>
      <vt:lpstr>練習問題４A</vt:lpstr>
      <vt:lpstr>練習問題４Ｂ</vt:lpstr>
      <vt:lpstr>標準誤差</vt:lpstr>
      <vt:lpstr>Z検定</vt:lpstr>
      <vt:lpstr>t検定</vt:lpstr>
      <vt:lpstr>χ２検定</vt:lpstr>
      <vt:lpstr>２×２用</vt:lpstr>
      <vt:lpstr>McNemar検定</vt:lpstr>
      <vt:lpstr>拡張Mantel検定</vt:lpstr>
      <vt:lpstr>年齢調整平均</vt:lpstr>
      <vt:lpstr>年齢調整割合</vt:lpstr>
      <vt:lpstr>将来予測</vt:lpstr>
      <vt:lpstr>標準化死亡比</vt:lpstr>
      <vt:lpstr>標準偏差併合</vt:lpstr>
      <vt:lpstr>H22国勢調査人口</vt:lpstr>
      <vt:lpstr>H17国勢調査人口</vt:lpstr>
      <vt:lpstr>H12推計人口</vt:lpstr>
      <vt:lpstr>'２×２用'!Print_Area</vt:lpstr>
      <vt:lpstr>McNemar検定!Print_Area</vt:lpstr>
      <vt:lpstr>t検定!Print_Area</vt:lpstr>
      <vt:lpstr>Z検定!Print_Area</vt:lpstr>
      <vt:lpstr>χ２検定!Print_Area</vt:lpstr>
      <vt:lpstr>将来予測!Print_Area</vt:lpstr>
      <vt:lpstr>'練習問題４(例)'!Print_Area</vt:lpstr>
      <vt:lpstr>練習問題４A!Print_Area</vt:lpstr>
      <vt:lpstr>練習問題４Ｂ!Print_Area</vt:lpstr>
    </vt:vector>
  </TitlesOfParts>
  <Company>NIPH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Tetsuji Yokoyama</dc:creator>
  <cp:lastModifiedBy>tyokoya</cp:lastModifiedBy>
  <cp:lastPrinted>2010-02-15T12:52:03Z</cp:lastPrinted>
  <dcterms:created xsi:type="dcterms:W3CDTF">2009-02-16T08:16:50Z</dcterms:created>
  <dcterms:modified xsi:type="dcterms:W3CDTF">2020-10-28T04:26:03Z</dcterms:modified>
</cp:coreProperties>
</file>